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autoCompressPictures="0"/>
  <mc:AlternateContent xmlns:mc="http://schemas.openxmlformats.org/markup-compatibility/2006">
    <mc:Choice Requires="x15">
      <x15ac:absPath xmlns:x15ac="http://schemas.microsoft.com/office/spreadsheetml/2010/11/ac" url="C:\Users\Lbeech\Desktop\"/>
    </mc:Choice>
  </mc:AlternateContent>
  <xr:revisionPtr revIDLastSave="0" documentId="8_{1B5C1C0B-62EB-4AA8-9EA8-DAADBDB2843B}" xr6:coauthVersionLast="41" xr6:coauthVersionMax="41" xr10:uidLastSave="{00000000-0000-0000-0000-000000000000}"/>
  <workbookProtection workbookAlgorithmName="SHA-512" workbookHashValue="IF1Mth/Z5i6Db6JvzEhXgCRhIRlSDmWRpRwQvmMlIUnhTIIlVz7zCjAGRRmhUzALKMqsQfWP3efGSq1e9CEjPw==" workbookSaltValue="bddT5qEZ60VOQCuyhQwvtvGvQW9/v9qQzlhkbj9ypOL6PXhSJi1yZcvfEC7N5gPp9awosKASsHOzOetM10apwdkRkusRN/j3bDDb++Ox5j2gEXPeqKIzNsTfde3T4mhC21B6rJ0zUAOgPb4G8PjuC9jjsj01WmWlCipJRLe1BDiSMBHSXHG85AHac0AqBMDZK6lLA8Ul7dZBB2xwNhtsBXc5BdsnSM4tHalv3CcuCWjRNT5bZS0SjQFPGxy+D8G5lOnfUYkVFQtnYY1ZoypJidPKhEFnvWGUVgf3fjwRHQvfD7j+vJMsGa/Y8cA0Y9MFJKnTxF6kAYipuWgikGbgTKCxIyVO1EPMril84WbRrK6NyTw+DpL3Xz2aiRfKvJhsRy9Qsf4svLiLHlSaOmDxcL/ipCraPq05IvuEzwKN+uEiU6McEjP3T83Nz4V2tsU+u6XosUhRDg7F8xZ0zF4XYdwlUqhdg1pKZL0p9RIVWhZuZq7bp6hQ8/HXv51KrPss/+FdxcgnOqFfIXaQSV8ih47btIM1180UORdvKmZPjdNsWbMDCOQydRSY1aZfQCbVuHYfaLWWkPd5YCCoG8S5+/JexqsnXTIprqkpk+jcTGKN/eK9yycbz+x179NoTXJdZ0bwNp23rT+JXeo5Xdm+/jTuElxHP2qtVO1b7wqL8QAh6Ig77Czx1OKYB2Z91DniuxD94NzeEbOOxEIGFyC68bbcq53OOE/GKdVDpSewJVkQMU8OYBQPq8hesuP88ovKq+wRdUbidtR9lYNHRU0gS3OPLEOTt0aJR9binghNLbwH0PEfdEeLgPGSDdy3vzKCm0anksACns1q35m81QuR8AK5kPY6lOHAn9lgO59fHNFQ7Rn59poTmClsXAFuV5QGZPkVv4bun8CNoxH+dW8zgYN264jwt4RMYHYUEhOrZwYo+E1Wudo1q+tEEq2qt2fFSIZoNa/WjTSz+pvyMCJegYNkYSLieB14bmyAza95DO8tHdyfDRri/+4HJM2HrQvOz6BFd4f+wl2EVpZ9bSY8Tkcnami3SyNvCZ8sA6UgTW7d5NkMueZ8XINQAECadXLyrX6n7ECHbptLHaCtRVQGcImADlHCAI5BRWHv4oEpdkZJ1P+gTt6gs/b0CFIq9AIWlNabFJCqmQZSQc41DSdspBC+GgNvW/gigVoA03MNTL2u+DYuPl3CchK8ANLAUACAiWspOBpRFsbnEq4D/LAb89d6Wm64pLnszr3gqmFkEjQc62U9gpIxzFtpC09YZKLfWr9M2czrz7foc8z79NKYgg4qtv1hOxkYIYuGvJUNb3tosXrzIO5kKYWgyBIQmY4fnpeSOqrp1k6dw+3lwbPA2TG5qLKBOVbhTpEfEOZkPIxHqZaTitxEodmSKYIGiYXqbwy6T32THsz22KF7IWw7L68vfLaWQvBaES0BG4YEBwtZtUriLPOMz86EGZyC1KXzzn1t+cIhxrcoPyz8/srkAmJuS+KC52R1g4P+ojeJ00chjLhOWybKH4BWCcc+yEGEgE2gWfKYviKU+lSr/tKlmW9GI5s9Rz7y8hoTN3oGOEWSDaXK45tgi1gSh3QfqkBZYuFp0Y5bPMu0uRWItyhZEz753D1a3guVDQRO1NmfNhRED3SnHnOf76SCzlheOixANLIlFRx41+SYAewcib0zgG460fKAoIwcwsjL1SCVhQ9Id9SpJev1EFrf1WvjQu/yLWGB7xmAmqT26KDFCumIiAufVzmCsdgnxqRS7hcC8ASUfZwsssoTVNcwDPfOaXjY1Kmxa/doDf+Vg3d+2LE62caAfKgLmxsK+cSL7wnu4IP4FW0FC+pvq6eB7M/ZKA0ccdFZAFrQtj/MaqY7oY89O6mBFLmhWnMRvfZLDaAazvXwCk+jPtr4lziEU1g9tZhNkD9u2xZenqBrONMh8QdOYTje3TcSOXpWGbMYPR/M/sXaeEzHtgXaHyLr1574n8gXPgdH3JXjTeshDqtr5tMWRrw1vm7gh7V4+fb43E+mqPmiOC1728INW4rbnkKgfd1VJIIVb7qcQ6DpLEY9JpWVy6xa1o0Gxxu79TUlPynWg4P00KWIyP4cI0NDjw+7WkWHTcjHj/O3yKLU25cLVS9yOL63aPm08L41pjLXXI30UHjRUABgqEzCsvpgUkkBw6EKfcNSr1JsPxprpR+DnoGIyjMYWHeXnws5l0j5BvQZ0iecvygjE30j2ZCMkAj8wvrA/NCUpDa33YWv5w7wIsmqeZnc1cx/fxc/KJtjpkDwFyeeD6ZLUSc5k13a09V6Rc7auesX4GbnH3UZImv8zb2FVlRT02rPtNBwjSrkUB6XrPSjj+m4/g9YLoY6nKzuMkE9HR8h9mVjVeu0L4iYbNvQUBBL6f6Zv8wfqrwr5R0yr8U3RHhiU7WrkefWY6m2RBUW0/lBJgRkdEfJrJ4EsXUMjG1eW0nqOcBbpbxHxQHTV6jxrXTSeJ9sQneKbkiwXULBc6RAleyqHcOO8k24kG4bT3lBJgbRkocBUrBpBIc0HkEsQAeRYkUShwAQQO6hPNZroGcUg7WMwtxNMOC71sgBXF13d7w401e7QGcdiCRKfR0y3qgj52p+6dEOTKJZJ4of9XKX2zzGqCaTZugRnGsa6k4fwTx/qY/iQke54vADCEEKJq52skSGQHr5JnTTWrJYaqkp3k1rimypdA3YkqS/QQNTeQjfhjN62B5pDG02wgKFdlACIJS0gCrqzwN/GRzwdcJgIoITnk18p4q3bkGKtp6N0KtFWOZm4CQvYYIxkCTjZOO7rJxRQCIyaHsA7SfZmAcD40opQFq61GGc9M0zdMkNjr+uepPiTY4wsFn5+akbhB97vlwgm8uOhVjF95iSujIMVEYu5nztApLft5ZUCdSMMaU7aZHbodqN+9ZI1r30aSt0SHh3o+BFSmfcU/ZcOHdfzRbDqZLAuGI35HNnZ9JeSFxDxlT+6SaBGgvCbd6kU/oX0djfzcbPt8FijbqVabUa9A/wY4AIH0R2dR7FgeAuX7yF4y4RLf9F6yoRP1QWE2rOZO4Q+6VeBLmWFQd3s+L1eyKC88Ln0pBQp/t+cys/+iGHjscas5dCEp10B3ikCPYI/CzrG5Ohs0HHZu8FE3CHyC4ykBB+8Qk0DYc1zV+jOHP74w0OP33BD+czntOJU8jXu8POOJo/qc/5jD0JBXYw6lcqaLPDZSBLgdy33Sp5xOiREVpdMPz41/3R8Uri3T57mM8FcKofvs2cXRGprNxrTuhdZG+fCl2HhByNm5gm9ysN89tzKZqhVYgob+4C/pzTpitE1yJ1JK35Vw0S9rZ/9CxX/aTg7cgposWxV8RKVqCt/kBGRRX0PlEOinMFR+DVUCh7PomZwri69T9yXASTvVSvwTptlVSozEgL5MZFQeeaPlFLhhrOW/Ea9UMT9qBQemIiXtMOvx/WiTlnffdC8YLO61I1GETvgxNrRZQAqvmkogUsH8EUjSG2XqyhQyJ0dPP3yYxDjnusUJIWdZ5IfZ62DNnF3f1XY2QBgVQRjj7M8lQSnPz7MAuNdF48zlEPt/Fe/NtsENUzlIWENbV19O9fmcmWiv50baVEksimWBoUMVn9ykoG74uuelVyiTVezZmnDX38pGr0qHNWBVPt+3pt2ucdPaJCJqDG5MSP08Cr+HcZz/7OK4En5n5bxXNMd6quAsMMEY2vtfMYfdPnw7/9H2T0r+5UlIkVUm5Y+WiHN943vnlEzDuQi6Q1S5RaaTmbIDfQsEj8mw/e+OfXHvGNjqOsT1G3ko8kilt+Vot2/XJSWT5Z142OeZiDrEIIt4RdMaF5yJOO1S9vkmwd+P9yKQdjJeEUkLW9/xnlTp+pWFTs4Rk6u6Gf9RkPIVwWE/rxJoHbbK5iQi3E90ZnCb+4OdS+hjJ6s0/EONJrZcnnNeeV5rRH9kK5J/8XdbLKy5PVqzMFwo93QDndXBvQYcfeVwGwb21fNgSxHPt35VzFteGkRdJ20nwvH7mlLvPahjCk3WI43NT0ObaUzT76CeQPqhedRILdUiVGtCFjtYyWIT+V8WAAvvVTcbEETLXilMw1fszCwLKVSE7HJ55r3sCofoJuTZDLm53HbBg+6TgKjQV7JmXipv2ssPUv2fUY8YMV2ZQEMvclsg/rmNltdkziRMGW97Ltub/3eueNbCcfwikU24kXt9da7oEWCrN8rD4TuD76sB89Y5F8h49haXKYip2OZmKztctKDKG4A5nOcg/2Gbs2kpXB0v9SJwro8UXyvxQeplj56NxKI/sPkK+dKg4H5ea07q8Hv+6X04OVfemhGw8k1Iq2Br2UrRzu5E0mR41PA0tAkfya35ti458X3NpKoQeEsTc2+7PkaZVmbbm7fHm3K1IIl05wfuX665bvSEnPfpfWXQ986VVk8kOtZc6lZiFe0VeRCL+zy5RKWRGlKPQKmgbBjYIYP82XaF/FSj/Mn2SNCrtoYVBtYVqtRcaK9Hvvu1MgL02I1EexTy3q6C1Bo1/t36AdzZ3o4ZO4LfM/s939jO1KnGhw444/K+muo9dxTmU3tY6u/i2clXelB0VuhK3kKMktPcBtubzazDACm4DyOkDRcBeo+cPZ9dMxup8IKKISevCTImXV9lMHguVu8FSKYkPus/XmKYGM89stUH1H3QlmDjuUNIPTHGqwdTMzAKqdI/6JI7srTjUdcFRGdgCoEZHsiUrHpbkic9yS6TNoGESzEi8Muopx+V6RmeR+m4/makYJneaW/uPif0W0ARXSvXHSfreZ3mO2g4QDYaZdSk/5GjVjSeM+NvinZrL1fUCngPXxZbWk/p5olgm/qJhSLeFS8IIabRccUwnBOvYlitnlxHSieGUs+DYyKqYM1+Twmlx/03zB1woQflyt6QunpgcfQI0Y5jofXS2YDiHInz6qxgq5GFQJb6bCDcsJqp7i2mmR1zhapEUkZennPOc7iBa83hqHqPj4xD8fkE32Yp0tetuXIis23WT3ArQDeOdd8ZwZL6TIImcPU6+mnN0E5lwSh4InkqnyZpo4n/okGSfMek1slBl+g/eOfSva18ULGaz+RlnSMQyfHTJhczqEcjwoY/IZYZTzth0FEx81C/a/ggfnuF3OLd/gX+Mpqrht9ksUybB5/JuqP6jB6koApjSqsNA/HUzsz+gXSnn9r6jrwFRBBc09nbXmTofeZKFZvXY+b//dihWBbOppQnhPEczo0UcO6rsI5EnRTe+L9K56Yq1KSPsu+O3mZkos0VXfrePDyx7sEM6O/zaCx74i327rsIfPdcOpwhh0Vz3rs32EBfS9nJ0XuPoWbIGOqGf6HtlnHkLwgPNRiQGsnqVmmKnHVrzrID4d3TLLFk5itHbJGhZa3V3i2TuQTtJvJFlPh8m3B+YHIo/h6pVV60BhRrrrij3mUTaLASXT8AritRkyfSxbXJT9LV2KMd/u8tRBlafkShffAneCu8kqSOM41Y8x0rV5mgXcmEawEJ1r+5SRfTKJp7IEgDnDfzMCv9m6RqcJK674Yog7xS+kO5ozp4mGGNHGvin9cDFhxDfIhxfsdHMS44b7BRVRJmgHx14ld4cgvK3LYC29iP18MtlTjBrdUFuWZ/0ay5RBOTsXDC5NW+vsPoTkMOM7PJG1kUdNRsOU2wYXjs3Kb6H71GO4G5QXigMcpmvj8m0Bdo5qWOiLE2K/l+s2yl3QWxlCTbi/iPqpLAZKpXMFbtkE2EHK8dWckNdmBCB0WCfWOWtuow93L8l7TjCHs2hppMM5h43/L9npf8ztu7rGEgvr0xRtt2O1bni+X+Pusm7Di2o4Icuqjqg1eFVfYWSlk2HJKE5P658wtML3WUE/6arD42xZPUboRw12LhX10Yt+6HnZ1xolarny1TlP/2++Nhc4+avH8LlFKozhK8FuB527vd2pp2Jp4EeRFXZJOyunCnUyzxDQvntqEd4+F7u56PFwCrK5KjH3FO0gy17v/6EKTuclja9GQoaU8owzs4YMPhEuYuRkc5cBkc8sFhHtyKfUltARchv8XC6ic3IB/IuHtU6SEIxz4AShFu2DRfMfViDqK1udZWH0+iYRsv9GrwWIeGpRdi1XvxX97HrtYFGAt271ZHiPwYfrmPx95+CYXlFRb/KC11dXzikqMuzKykOuM2oo1fU+dUdUSD9ruGZJxK481YHaf61q+BBZwCFf6pScdjhtkcykLJLBp2lSvA5jsYzz7xuV0swFGVSXFdzZygco6a3IyEsdaHalkhSvk/nzmz6rQQ4+4skoi++oy/gWpAe3zL/gKIjd9p+PD4jbuOWe1LdgOj7AuJhu5OTzZtotCHYFYmB0kKn0ls5q29j9AqZNtc1CWzisKXSiZXSJcvz7jIE8fpvWU3VRd1gGv5V9iU/MlWPo/kss9/IKhYM/CY4u4sCRcN3HACKC3Mi1zVGU8NWnyt47K6IYRKzymsnE/W5hlTi7oKYKCuV/XqwvYFipZgw7L3HlEyuTEr5dw4VH3lxlJHKbiZ9hLpdepAKo+d+eW05IRHtCEVxeqYSBRy80+Hh5Z18HiwzEUY+3rj5Fqq2bqEomnrzU45PWSYbLCStr65/TG5jcobjHHO/I9uSyHcWkQFzSu4rdKKOL4OJMDtSEaEAzNO1FsWiFBBuZ6PH+RLAbPbU7VKg=" workbookSpinCount="10000000" lockStructure="1"/>
  <bookViews>
    <workbookView xWindow="-98" yWindow="-98" windowWidth="24496" windowHeight="15796" tabRatio="673" activeTab="1" xr2:uid="{00000000-000D-0000-FFFF-FFFF00000000}"/>
  </bookViews>
  <sheets>
    <sheet name="Main Menu" sheetId="1" r:id="rId1"/>
    <sheet name="Help" sheetId="13" r:id="rId2"/>
    <sheet name="Class 1" sheetId="15" r:id="rId3"/>
    <sheet name="Adjustment factors" sheetId="4" r:id="rId4"/>
    <sheet name="Worksheet" sheetId="16" r:id="rId5"/>
    <sheet name="Screenshots" sheetId="17" r:id="rId6"/>
    <sheet name="2003 v 2007 Mods" sheetId="18" state="hidden" r:id="rId7"/>
  </sheets>
  <externalReferences>
    <externalReference r:id="rId8"/>
  </externalReferences>
  <definedNames>
    <definedName name="_Adj1">#REF!</definedName>
    <definedName name="_Adj2">#REF!</definedName>
    <definedName name="_Adj3">#REF!</definedName>
    <definedName name="_xlnm._FilterDatabase" localSheetId="2" hidden="1">'Class 1'!$B$27:$B$67</definedName>
    <definedName name="ADIPL">#REF!</definedName>
    <definedName name="ADIPL1">#REF!</definedName>
    <definedName name="ADIPLbalc">'Class 1'!$I$142</definedName>
    <definedName name="ADIPLClass1">'Class 1'!$I$138</definedName>
    <definedName name="ADIPLClass10">'Class 1'!$I$146</definedName>
    <definedName name="ADIPLone" localSheetId="2">'Class 1'!$I$138</definedName>
    <definedName name="ADIPLone">#REF!</definedName>
    <definedName name="ADIPLthree">#REF!</definedName>
    <definedName name="ADIPLtwo">#REF!</definedName>
    <definedName name="AdjFacComAll" comment="Class 3, 5-9 All Adjustment Factors">'Adjustment factors'!#REF!</definedName>
    <definedName name="AdjFacComPart" comment="Class 3, 5-9 Adjustment Factors minus Corridor">'Adjustment factors'!#REF!</definedName>
    <definedName name="Adjfactors" localSheetId="2">'Class 1'!$S$87:$T$106</definedName>
    <definedName name="Adjfactors01">#REF!</definedName>
    <definedName name="Adjfactors1" localSheetId="2">'Class 1'!$T$86:$U$97</definedName>
    <definedName name="Adjfactors1">#REF!</definedName>
    <definedName name="Afactors">'Adjustment factors'!$R$12:$T$23</definedName>
    <definedName name="AfactorsTwo">'Adjustment factors'!$AC$12:$AE$24</definedName>
    <definedName name="AllInputsOK">[1]Calculator!$AY$28</definedName>
    <definedName name="Allinputsokres">'Class 1'!$AW$87</definedName>
    <definedName name="ansarea1">#REF!</definedName>
    <definedName name="ansarea2">#REF!</definedName>
    <definedName name="ansarea3">#REF!</definedName>
    <definedName name="ansarea4">#REF!</definedName>
    <definedName name="ansarea5">#REF!</definedName>
    <definedName name="ansarea6">#REF!</definedName>
    <definedName name="ansarea7">#REF!</definedName>
    <definedName name="area1">#REF!</definedName>
    <definedName name="area2">#REF!</definedName>
    <definedName name="area3">#REF!</definedName>
    <definedName name="area4">#REF!</definedName>
    <definedName name="area5">#REF!</definedName>
    <definedName name="area6">#REF!</definedName>
    <definedName name="area7">#REF!</definedName>
    <definedName name="area8">#REF!</definedName>
    <definedName name="AreaUsed">[1]Calculator!$U$33:$U$72</definedName>
    <definedName name="AveADIPL">'Class 1'!$I$139</definedName>
    <definedName name="Balconytrue">'Class 1'!$AS$87</definedName>
    <definedName name="Class_3_9a_9c_List">'Adjustment factors'!$X$28:$X$30</definedName>
    <definedName name="Class_5_to_9b_List">'Adjustment factors'!$V$28:$V$33</definedName>
    <definedName name="Class1">'Class 1'!$S$107</definedName>
    <definedName name="Class10">'Class 1'!$S$108</definedName>
    <definedName name="Class5">'Class 1'!$S$108</definedName>
    <definedName name="ClassificationOne">#REF!</definedName>
    <definedName name="ClassificationTwo">'Class 1'!$L$11</definedName>
    <definedName name="ComplianceErrorsTotal">[1]Calculator!$CC$28</definedName>
    <definedName name="Corridors.">#REF!</definedName>
    <definedName name="_xlnm.Criteria" localSheetId="2">'Class 1'!$D$15</definedName>
    <definedName name="DescriptionOne">#REF!</definedName>
    <definedName name="DescriptionTwo">'Class 1'!$D$11</definedName>
    <definedName name="DynamicDim">'Adjustment factors'!$R$21</definedName>
    <definedName name="DynamicdimmingJ">#REF!</definedName>
    <definedName name="eNA">'Adjustment factors'!$V$16</definedName>
    <definedName name="FailBalcony">'Class 1'!$N$154</definedName>
    <definedName name="FailCheck">#REF!</definedName>
    <definedName name="FailClass1">'Class 1'!$N$150</definedName>
    <definedName name="FailClass10">'Class 1'!$N$158</definedName>
    <definedName name="FailCom">#REF!</definedName>
    <definedName name="FailRes">'Class 1'!$N$150</definedName>
    <definedName name="firstinputsres">'Class 1'!$J$103</definedName>
    <definedName name="FixedDim">'Adjustment factors'!$R$16</definedName>
    <definedName name="Fixeddimming">#REF!</definedName>
    <definedName name="fNA">'Adjustment factors'!$X$17</definedName>
    <definedName name="GeneralAdviceOne">#REF!</definedName>
    <definedName name="GeneralAdviceTwo">'Class 1'!$AY$28</definedName>
    <definedName name="InputIssuesOne">#REF!</definedName>
    <definedName name="InputIssuesTwo">'Class 1'!$DJ$25</definedName>
    <definedName name="jNA">'Adjustment factors'!$X$21</definedName>
    <definedName name="LocationLimitsTwo" localSheetId="2">'Class 1'!$H$86:$I$90</definedName>
    <definedName name="ManualDime">'Adjustment factors'!$R$16</definedName>
    <definedName name="ManualDimf">'Adjustment factors'!$R$17</definedName>
    <definedName name="MIPDLbalc">'Class 1'!$I$154</definedName>
    <definedName name="MIPDLClass1">'Class 1'!$I$150</definedName>
    <definedName name="MIPDLClass10">'Class 1'!$I$158</definedName>
    <definedName name="MIPDLONE" localSheetId="2">'Class 1'!$I$150</definedName>
    <definedName name="MIPDLONE">#REF!</definedName>
    <definedName name="MIPDLRES">#REF!</definedName>
    <definedName name="MIPDLThree">#REF!</definedName>
    <definedName name="MIPDLtwo">#REF!</definedName>
    <definedName name="Onevalueinvalid">'Class 1'!$BJ$91</definedName>
    <definedName name="PassBalcony">'Class 1'!$N$142</definedName>
    <definedName name="Passcheck">#REF!</definedName>
    <definedName name="PassClass1">'Class 1'!$N$138</definedName>
    <definedName name="PassClass10">'Class 1'!$N$146</definedName>
    <definedName name="PassCom">#REF!</definedName>
    <definedName name="PassRes">'Class 1'!$N$138</definedName>
    <definedName name="PerAllowance">#REF!</definedName>
    <definedName name="perallowance3">#REF!</definedName>
    <definedName name="PerAllowanceRes">#REF!</definedName>
    <definedName name="Percent1">'Class 1'!$Q$103</definedName>
    <definedName name="Percent10">'Class 1'!$Q$106</definedName>
    <definedName name="percentage">#REF!</definedName>
    <definedName name="Percentageofallowance">'Class 1'!#REF!</definedName>
    <definedName name="PercentBalcony">'Class 1'!$Q$105</definedName>
    <definedName name="PrecisionTwo">'Class 1'!$N$113</definedName>
    <definedName name="_xlnm.Print_Area" localSheetId="3">'Adjustment factors'!$A$1:$O$48</definedName>
    <definedName name="_xlnm.Print_Area" localSheetId="2">'Class 1'!$B$1:$P$82</definedName>
    <definedName name="_xlnm.Print_Area" localSheetId="1">Help!$A$1:$D$101</definedName>
    <definedName name="_xlnm.Print_Area" localSheetId="0">'Main Menu'!$A$1:$R$34</definedName>
    <definedName name="_xlnm.Print_Area" localSheetId="5">Screenshots!$A$1:$W$202</definedName>
    <definedName name="_xlnm.Print_Area" localSheetId="4">Worksheet!$A$1:$P$8</definedName>
    <definedName name="_xlnm.Print_Titles" localSheetId="2">'Class 1'!$1:$27</definedName>
    <definedName name="ProgDim">'Adjustment factors'!$R$15</definedName>
    <definedName name="ResAdjustfactor01">'Class 1'!$T$86:$V$98</definedName>
    <definedName name="ResClassifications">'Class 1'!$S$107:$S$108</definedName>
    <definedName name="resdynamicdimmingk">'Class 1'!$T$94</definedName>
    <definedName name="resFixeddimming">'Class 1'!$T$95</definedName>
    <definedName name="ResSpace">#REF!</definedName>
    <definedName name="roomaspect" localSheetId="2">'Class 1'!#REF!</definedName>
    <definedName name="roomaspect">#REF!</definedName>
    <definedName name="RowsFilledOne">#REF!</definedName>
    <definedName name="RowsFilledTwo">'Class 1'!$AN$22</definedName>
    <definedName name="RowsPreferredOne">#REF!</definedName>
    <definedName name="RowsPreferredTwo">'Class 1'!$G$18</definedName>
    <definedName name="RowsShownOne">#REF!</definedName>
    <definedName name="RowsShownTwo">'Class 1'!$BP$25</definedName>
    <definedName name="Screenshot1">Screenshots!$A$4:$A$47</definedName>
    <definedName name="Screenshot2">Screenshots!$A$55:$A$98</definedName>
    <definedName name="Screenshot3">Screenshots!$A$106:$A$150</definedName>
    <definedName name="Screenshot4">Screenshots!$A$158:$A$203</definedName>
    <definedName name="ShowPass" localSheetId="2">'Class 1'!$DE$29</definedName>
    <definedName name="ShowPass">#REF!</definedName>
    <definedName name="SpacenameS1" localSheetId="2">'Class 1'!$H$86:$H$130</definedName>
    <definedName name="SpacenameS2">#REF!</definedName>
    <definedName name="SpacenameS3">#REF!</definedName>
    <definedName name="SpaceS1">#REF!</definedName>
    <definedName name="SpaceS2">#REF!</definedName>
    <definedName name="SpaceS3">#REF!</definedName>
    <definedName name="SpacesActiveTwo">'Class 1'!$J$91</definedName>
    <definedName name="Storey">'Class 1'!#REF!</definedName>
    <definedName name="StoreyNonRes">#REF!</definedName>
    <definedName name="TopInputsOKOne">#REF!</definedName>
    <definedName name="TopInputsOKTwo">'Class 1'!$DJ$11</definedName>
    <definedName name="TotalAllowBalc">'Class 1'!$I$155</definedName>
    <definedName name="TotalAllowClass1">'Class 1'!$I$151</definedName>
    <definedName name="TotalAllowClass10">'Class 1'!$I$159</definedName>
    <definedName name="totalperallowance">#REF!</definedName>
    <definedName name="TypeofSpaceres">'Class 1'!$E$86:$G$95</definedName>
    <definedName name="V2FixedDim">'Adjustment factors'!$AC$21</definedName>
    <definedName name="V2LumenDepFactor">'Adjustment factors'!$AC$20</definedName>
    <definedName name="V2ManualDim">'Adjustment factors'!$AC$16</definedName>
    <definedName name="V2ProgDim">'Adjustment factors'!$AC$17</definedName>
    <definedName name="ValidControlsAll">'Adjustment factors'!$X$12:$X$23</definedName>
    <definedName name="ValidControlsPart">'Adjustment factors'!$X$12:$X$23</definedName>
    <definedName name="ValidControlsRes" comment="Adjustment Factors for Residential Buildings Only">'Adjustment factors'!$V$12:$V$23</definedName>
    <definedName name="ValidControlsResParts" comment="Adjustment Factors for Residential Buildings only,excluding corridor space">'Adjustment factors'!$V$13:$V$23</definedName>
    <definedName name="ValidLocationsOne">#REF!</definedName>
    <definedName name="ValidLocationsTwo" comment="Range dimensions vary to suit contents and avoid empty choices in Data Validation list.">OFFSET('Class 1'!$K$86,0,0,SpacesActiveTwo,1)</definedName>
    <definedName name="VisibleFailures" localSheetId="2">'Class 1'!$CF$36</definedName>
    <definedName name="VisibleFailure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29" i="15" l="1"/>
  <c r="AL30" i="15"/>
  <c r="AL31" i="15"/>
  <c r="AL32" i="15"/>
  <c r="AL33" i="15"/>
  <c r="AL34" i="15"/>
  <c r="AL35" i="15"/>
  <c r="AL36" i="15"/>
  <c r="AL37" i="15"/>
  <c r="AL38" i="15"/>
  <c r="AL39" i="15"/>
  <c r="AL40" i="15"/>
  <c r="AL41" i="15"/>
  <c r="AL42" i="15"/>
  <c r="AL43" i="15"/>
  <c r="AL44" i="15"/>
  <c r="AL45" i="15"/>
  <c r="AL46" i="15"/>
  <c r="AL47" i="15"/>
  <c r="AL48" i="15"/>
  <c r="AL49" i="15"/>
  <c r="AL50" i="15"/>
  <c r="AL51" i="15"/>
  <c r="AL52" i="15"/>
  <c r="AL53" i="15"/>
  <c r="AL54" i="15"/>
  <c r="AL55" i="15"/>
  <c r="AL56" i="15"/>
  <c r="AL57" i="15"/>
  <c r="AL58" i="15"/>
  <c r="AL59" i="15"/>
  <c r="AL60" i="15"/>
  <c r="AL61" i="15"/>
  <c r="AL62" i="15"/>
  <c r="AL63" i="15"/>
  <c r="AL64" i="15"/>
  <c r="AL65" i="15"/>
  <c r="AL66" i="15"/>
  <c r="AL67" i="15"/>
  <c r="AL28" i="15"/>
  <c r="AZ28" i="15" l="1"/>
  <c r="R29" i="15"/>
  <c r="T29" i="15" s="1"/>
  <c r="R30" i="15"/>
  <c r="T30" i="15" s="1"/>
  <c r="R31" i="15"/>
  <c r="T31" i="15" s="1"/>
  <c r="R32" i="15"/>
  <c r="T32" i="15" s="1"/>
  <c r="R33" i="15"/>
  <c r="T33" i="15" s="1"/>
  <c r="R34" i="15"/>
  <c r="T34" i="15" s="1"/>
  <c r="R35" i="15"/>
  <c r="T35" i="15" s="1"/>
  <c r="R36" i="15"/>
  <c r="T36" i="15" s="1"/>
  <c r="R37" i="15"/>
  <c r="T37" i="15" s="1"/>
  <c r="R38" i="15"/>
  <c r="T38" i="15" s="1"/>
  <c r="R39" i="15"/>
  <c r="T39" i="15" s="1"/>
  <c r="R40" i="15"/>
  <c r="T40" i="15" s="1"/>
  <c r="R41" i="15"/>
  <c r="T41" i="15" s="1"/>
  <c r="R42" i="15"/>
  <c r="T42" i="15" s="1"/>
  <c r="R43" i="15"/>
  <c r="T43" i="15" s="1"/>
  <c r="R44" i="15"/>
  <c r="T44" i="15" s="1"/>
  <c r="R45" i="15"/>
  <c r="T45" i="15" s="1"/>
  <c r="R46" i="15"/>
  <c r="T46" i="15" s="1"/>
  <c r="R47" i="15"/>
  <c r="T47" i="15" s="1"/>
  <c r="R48" i="15"/>
  <c r="T48" i="15" s="1"/>
  <c r="R49" i="15"/>
  <c r="T49" i="15" s="1"/>
  <c r="R50" i="15"/>
  <c r="T50" i="15" s="1"/>
  <c r="R51" i="15"/>
  <c r="T51" i="15" s="1"/>
  <c r="R52" i="15"/>
  <c r="T52" i="15" s="1"/>
  <c r="R53" i="15"/>
  <c r="T53" i="15" s="1"/>
  <c r="R54" i="15"/>
  <c r="T54" i="15" s="1"/>
  <c r="R55" i="15"/>
  <c r="T55" i="15" s="1"/>
  <c r="R56" i="15"/>
  <c r="T56" i="15" s="1"/>
  <c r="R57" i="15"/>
  <c r="T57" i="15" s="1"/>
  <c r="R58" i="15"/>
  <c r="T58" i="15" s="1"/>
  <c r="R59" i="15"/>
  <c r="T59" i="15" s="1"/>
  <c r="R60" i="15"/>
  <c r="T60" i="15" s="1"/>
  <c r="R61" i="15"/>
  <c r="T61" i="15" s="1"/>
  <c r="R62" i="15"/>
  <c r="T62" i="15" s="1"/>
  <c r="R63" i="15"/>
  <c r="T63" i="15" s="1"/>
  <c r="R64" i="15"/>
  <c r="T64" i="15" s="1"/>
  <c r="R65" i="15"/>
  <c r="T65" i="15" s="1"/>
  <c r="R66" i="15"/>
  <c r="T66" i="15" s="1"/>
  <c r="R67" i="15"/>
  <c r="T67" i="15" s="1"/>
  <c r="R28" i="15"/>
  <c r="S10" i="15" s="1"/>
  <c r="T28" i="15" l="1"/>
  <c r="M25" i="15"/>
  <c r="L25" i="15"/>
  <c r="N10" i="15"/>
  <c r="DI29" i="15" l="1"/>
  <c r="DI30" i="15"/>
  <c r="DI31" i="15"/>
  <c r="DI32" i="15"/>
  <c r="DI33" i="15"/>
  <c r="DI34" i="15"/>
  <c r="DI35" i="15"/>
  <c r="DI36" i="15"/>
  <c r="DI37" i="15"/>
  <c r="DI38" i="15"/>
  <c r="DI39" i="15"/>
  <c r="DI40" i="15"/>
  <c r="DI41" i="15"/>
  <c r="DI42" i="15"/>
  <c r="DI43" i="15"/>
  <c r="DI44" i="15"/>
  <c r="DI45" i="15"/>
  <c r="DI46" i="15"/>
  <c r="DI47" i="15"/>
  <c r="DI48" i="15"/>
  <c r="DI49" i="15"/>
  <c r="DI50" i="15"/>
  <c r="DI51" i="15"/>
  <c r="DI52" i="15"/>
  <c r="DI53" i="15"/>
  <c r="DI54" i="15"/>
  <c r="DI55" i="15"/>
  <c r="DI56" i="15"/>
  <c r="DI57" i="15"/>
  <c r="DI58" i="15"/>
  <c r="DI59" i="15"/>
  <c r="DI60" i="15"/>
  <c r="DI61" i="15"/>
  <c r="DI62" i="15"/>
  <c r="DI63" i="15"/>
  <c r="DI64" i="15"/>
  <c r="DI65" i="15"/>
  <c r="DI66" i="15"/>
  <c r="DI67" i="15"/>
  <c r="DI28" i="15"/>
  <c r="DB30" i="15" l="1"/>
  <c r="DB31" i="15"/>
  <c r="DB32" i="15"/>
  <c r="DB33" i="15"/>
  <c r="DB34" i="15"/>
  <c r="DB35" i="15"/>
  <c r="DB36" i="15"/>
  <c r="DB37" i="15"/>
  <c r="DB38" i="15"/>
  <c r="DB39" i="15"/>
  <c r="DB40" i="15"/>
  <c r="DB41" i="15"/>
  <c r="DB42" i="15"/>
  <c r="DB43" i="15"/>
  <c r="DB44" i="15"/>
  <c r="DB45" i="15"/>
  <c r="DB46" i="15"/>
  <c r="DB47" i="15"/>
  <c r="DB48" i="15"/>
  <c r="DB49" i="15"/>
  <c r="DB50" i="15"/>
  <c r="DB51" i="15"/>
  <c r="DB52" i="15"/>
  <c r="DB53" i="15"/>
  <c r="DB54" i="15"/>
  <c r="DB55" i="15"/>
  <c r="DB56" i="15"/>
  <c r="DB57" i="15"/>
  <c r="DB58" i="15"/>
  <c r="DB59" i="15"/>
  <c r="DB60" i="15"/>
  <c r="DB61" i="15"/>
  <c r="DB62" i="15"/>
  <c r="DB63" i="15"/>
  <c r="DB64" i="15"/>
  <c r="DB65" i="15"/>
  <c r="DB66" i="15"/>
  <c r="DB67" i="15"/>
  <c r="DB28" i="15"/>
  <c r="DB29" i="15"/>
  <c r="DH29" i="15" l="1"/>
  <c r="DH30" i="15"/>
  <c r="DH31" i="15"/>
  <c r="DH32" i="15"/>
  <c r="DH33" i="15"/>
  <c r="DH34" i="15"/>
  <c r="DH35" i="15"/>
  <c r="DH36" i="15"/>
  <c r="DH37" i="15"/>
  <c r="DH38" i="15"/>
  <c r="DH39" i="15"/>
  <c r="DH40" i="15"/>
  <c r="DH41" i="15"/>
  <c r="DH42" i="15"/>
  <c r="DH43" i="15"/>
  <c r="DH44" i="15"/>
  <c r="DH45" i="15"/>
  <c r="DH46" i="15"/>
  <c r="DH47" i="15"/>
  <c r="DH48" i="15"/>
  <c r="DH49" i="15"/>
  <c r="DH50" i="15"/>
  <c r="DH51" i="15"/>
  <c r="DH52" i="15"/>
  <c r="DH53" i="15"/>
  <c r="DH54" i="15"/>
  <c r="DH55" i="15"/>
  <c r="DH56" i="15"/>
  <c r="DH57" i="15"/>
  <c r="DH58" i="15"/>
  <c r="DH59" i="15"/>
  <c r="DH60" i="15"/>
  <c r="DH61" i="15"/>
  <c r="DH62" i="15"/>
  <c r="DH63" i="15"/>
  <c r="DH64" i="15"/>
  <c r="DH65" i="15"/>
  <c r="DH66" i="15"/>
  <c r="DH67" i="15"/>
  <c r="DH28" i="15"/>
  <c r="DG29" i="15"/>
  <c r="DG30" i="15"/>
  <c r="DG31" i="15"/>
  <c r="DG32" i="15"/>
  <c r="DG33" i="15"/>
  <c r="DG34" i="15"/>
  <c r="DG35" i="15"/>
  <c r="DG36" i="15"/>
  <c r="DG37" i="15"/>
  <c r="DG38" i="15"/>
  <c r="DG39" i="15"/>
  <c r="DG40" i="15"/>
  <c r="DG41" i="15"/>
  <c r="DG42" i="15"/>
  <c r="DG43" i="15"/>
  <c r="DG44" i="15"/>
  <c r="DG45" i="15"/>
  <c r="DG46" i="15"/>
  <c r="DG47" i="15"/>
  <c r="DG48" i="15"/>
  <c r="DG49" i="15"/>
  <c r="DG50" i="15"/>
  <c r="DG51" i="15"/>
  <c r="DG52" i="15"/>
  <c r="DG53" i="15"/>
  <c r="DG54" i="15"/>
  <c r="DG55" i="15"/>
  <c r="DG56" i="15"/>
  <c r="DG57" i="15"/>
  <c r="DG58" i="15"/>
  <c r="DG59" i="15"/>
  <c r="DG60" i="15"/>
  <c r="DG61" i="15"/>
  <c r="DG62" i="15"/>
  <c r="DG63" i="15"/>
  <c r="DG64" i="15"/>
  <c r="DG65" i="15"/>
  <c r="DG66" i="15"/>
  <c r="DG67" i="15"/>
  <c r="DG28" i="15"/>
  <c r="DF29" i="15"/>
  <c r="DF30" i="15"/>
  <c r="DF31" i="15"/>
  <c r="DF32" i="15"/>
  <c r="DF33" i="15"/>
  <c r="DF34" i="15"/>
  <c r="DF35" i="15"/>
  <c r="DF36" i="15"/>
  <c r="DF37" i="15"/>
  <c r="DF38" i="15"/>
  <c r="DF39" i="15"/>
  <c r="DF40" i="15"/>
  <c r="DF41" i="15"/>
  <c r="DF42" i="15"/>
  <c r="DF43" i="15"/>
  <c r="DF44" i="15"/>
  <c r="DF45" i="15"/>
  <c r="DF46" i="15"/>
  <c r="DF47" i="15"/>
  <c r="DF48" i="15"/>
  <c r="DF49" i="15"/>
  <c r="DF50" i="15"/>
  <c r="DF51" i="15"/>
  <c r="DF52" i="15"/>
  <c r="DF53" i="15"/>
  <c r="DF54" i="15"/>
  <c r="DF55" i="15"/>
  <c r="DF56" i="15"/>
  <c r="DF57" i="15"/>
  <c r="DF58" i="15"/>
  <c r="DF59" i="15"/>
  <c r="DF60" i="15"/>
  <c r="DF61" i="15"/>
  <c r="DF62" i="15"/>
  <c r="DF63" i="15"/>
  <c r="DF64" i="15"/>
  <c r="DF65" i="15"/>
  <c r="DF66" i="15"/>
  <c r="DF67" i="15"/>
  <c r="DF28" i="15"/>
  <c r="DA29" i="15"/>
  <c r="DA30" i="15"/>
  <c r="DA31" i="15"/>
  <c r="DA32" i="15"/>
  <c r="DA33" i="15"/>
  <c r="DA34" i="15"/>
  <c r="DA35" i="15"/>
  <c r="DA36" i="15"/>
  <c r="DA37" i="15"/>
  <c r="DA38" i="15"/>
  <c r="DA39" i="15"/>
  <c r="DA40" i="15"/>
  <c r="DA41" i="15"/>
  <c r="DA42" i="15"/>
  <c r="DA43" i="15"/>
  <c r="DA44" i="15"/>
  <c r="DA45" i="15"/>
  <c r="DA46" i="15"/>
  <c r="DA47" i="15"/>
  <c r="DA48" i="15"/>
  <c r="DA49" i="15"/>
  <c r="DA50" i="15"/>
  <c r="DA51" i="15"/>
  <c r="DA52" i="15"/>
  <c r="DA53" i="15"/>
  <c r="DA54" i="15"/>
  <c r="DA55" i="15"/>
  <c r="DA56" i="15"/>
  <c r="DA57" i="15"/>
  <c r="DA58" i="15"/>
  <c r="DA59" i="15"/>
  <c r="DA60" i="15"/>
  <c r="DA61" i="15"/>
  <c r="DA62" i="15"/>
  <c r="DA63" i="15"/>
  <c r="DA64" i="15"/>
  <c r="DA65" i="15"/>
  <c r="DA66" i="15"/>
  <c r="DA67" i="15"/>
  <c r="DA28" i="15"/>
  <c r="CZ29" i="15"/>
  <c r="CZ30" i="15"/>
  <c r="CZ31" i="15"/>
  <c r="CZ32" i="15"/>
  <c r="CZ33" i="15"/>
  <c r="CZ34" i="15"/>
  <c r="CZ35" i="15"/>
  <c r="CZ36" i="15"/>
  <c r="CZ37" i="15"/>
  <c r="CZ38" i="15"/>
  <c r="CZ39" i="15"/>
  <c r="CZ40" i="15"/>
  <c r="CZ41" i="15"/>
  <c r="CZ42" i="15"/>
  <c r="CZ43" i="15"/>
  <c r="CZ44" i="15"/>
  <c r="CZ45" i="15"/>
  <c r="CZ46" i="15"/>
  <c r="CZ47" i="15"/>
  <c r="CZ48" i="15"/>
  <c r="CZ49" i="15"/>
  <c r="CZ50" i="15"/>
  <c r="CZ51" i="15"/>
  <c r="CZ52" i="15"/>
  <c r="CZ53" i="15"/>
  <c r="CZ54" i="15"/>
  <c r="CZ55" i="15"/>
  <c r="CZ56" i="15"/>
  <c r="CZ57" i="15"/>
  <c r="CZ58" i="15"/>
  <c r="CZ59" i="15"/>
  <c r="CZ60" i="15"/>
  <c r="CZ61" i="15"/>
  <c r="CZ62" i="15"/>
  <c r="CZ63" i="15"/>
  <c r="CZ64" i="15"/>
  <c r="CZ65" i="15"/>
  <c r="CZ66" i="15"/>
  <c r="CZ67" i="15"/>
  <c r="CZ28" i="15"/>
  <c r="CC28" i="15"/>
  <c r="DE29" i="15" l="1"/>
  <c r="DE30" i="15"/>
  <c r="DE31" i="15"/>
  <c r="DE32" i="15"/>
  <c r="DE33" i="15"/>
  <c r="DE34" i="15"/>
  <c r="DE35" i="15"/>
  <c r="DE36" i="15"/>
  <c r="DE37" i="15"/>
  <c r="DE38" i="15"/>
  <c r="DE39" i="15"/>
  <c r="DE40" i="15"/>
  <c r="DE41" i="15"/>
  <c r="DE42" i="15"/>
  <c r="DE43" i="15"/>
  <c r="DE44" i="15"/>
  <c r="DE45" i="15"/>
  <c r="DE46" i="15"/>
  <c r="DE47" i="15"/>
  <c r="DE48" i="15"/>
  <c r="DE49" i="15"/>
  <c r="DE50" i="15"/>
  <c r="DE51" i="15"/>
  <c r="DE52" i="15"/>
  <c r="DE53" i="15"/>
  <c r="DE54" i="15"/>
  <c r="DE55" i="15"/>
  <c r="DE56" i="15"/>
  <c r="DE57" i="15"/>
  <c r="DE58" i="15"/>
  <c r="DE59" i="15"/>
  <c r="DE60" i="15"/>
  <c r="DE61" i="15"/>
  <c r="DE62" i="15"/>
  <c r="DE63" i="15"/>
  <c r="DE64" i="15"/>
  <c r="DE65" i="15"/>
  <c r="DE66" i="15"/>
  <c r="DE67" i="15"/>
  <c r="DE28" i="15"/>
  <c r="DC29" i="15" l="1"/>
  <c r="DC30" i="15"/>
  <c r="DC31" i="15"/>
  <c r="DC32" i="15"/>
  <c r="DC33" i="15"/>
  <c r="DC34" i="15"/>
  <c r="DC35" i="15"/>
  <c r="DC36" i="15"/>
  <c r="DC37" i="15"/>
  <c r="DC38" i="15"/>
  <c r="DC39" i="15"/>
  <c r="DC40" i="15"/>
  <c r="DC41" i="15"/>
  <c r="DC42" i="15"/>
  <c r="DC43" i="15"/>
  <c r="DC44" i="15"/>
  <c r="DC45" i="15"/>
  <c r="DC46" i="15"/>
  <c r="DC47" i="15"/>
  <c r="DC48" i="15"/>
  <c r="DC49" i="15"/>
  <c r="DC50" i="15"/>
  <c r="DC51" i="15"/>
  <c r="DC52" i="15"/>
  <c r="DC53" i="15"/>
  <c r="DC54" i="15"/>
  <c r="DC55" i="15"/>
  <c r="DC56" i="15"/>
  <c r="DC57" i="15"/>
  <c r="DC58" i="15"/>
  <c r="DC59" i="15"/>
  <c r="DC60" i="15"/>
  <c r="DC61" i="15"/>
  <c r="DC62" i="15"/>
  <c r="DC63" i="15"/>
  <c r="DC64" i="15"/>
  <c r="DC65" i="15"/>
  <c r="DC66" i="15"/>
  <c r="DC67" i="15"/>
  <c r="DC28" i="15"/>
  <c r="DD29" i="15" l="1"/>
  <c r="AX29" i="15" s="1"/>
  <c r="DD30" i="15"/>
  <c r="AX30" i="15" s="1"/>
  <c r="DD31" i="15"/>
  <c r="AX31" i="15" s="1"/>
  <c r="DD32" i="15"/>
  <c r="AX32" i="15" s="1"/>
  <c r="DD33" i="15"/>
  <c r="AX33" i="15" s="1"/>
  <c r="DD34" i="15"/>
  <c r="AX34" i="15" s="1"/>
  <c r="DD35" i="15"/>
  <c r="AX35" i="15" s="1"/>
  <c r="DD36" i="15"/>
  <c r="AX36" i="15" s="1"/>
  <c r="DD37" i="15"/>
  <c r="AX37" i="15" s="1"/>
  <c r="DD38" i="15"/>
  <c r="AX38" i="15" s="1"/>
  <c r="DD39" i="15"/>
  <c r="AX39" i="15" s="1"/>
  <c r="DD40" i="15"/>
  <c r="AX40" i="15" s="1"/>
  <c r="DD41" i="15"/>
  <c r="AX41" i="15" s="1"/>
  <c r="DD42" i="15"/>
  <c r="AX42" i="15" s="1"/>
  <c r="DD43" i="15"/>
  <c r="AX43" i="15" s="1"/>
  <c r="DD44" i="15"/>
  <c r="AX44" i="15" s="1"/>
  <c r="DD45" i="15"/>
  <c r="AX45" i="15" s="1"/>
  <c r="DD46" i="15"/>
  <c r="AX46" i="15" s="1"/>
  <c r="DD47" i="15"/>
  <c r="AX47" i="15" s="1"/>
  <c r="DD48" i="15"/>
  <c r="AX48" i="15" s="1"/>
  <c r="DD49" i="15"/>
  <c r="AX49" i="15" s="1"/>
  <c r="DD50" i="15"/>
  <c r="AX50" i="15" s="1"/>
  <c r="DD51" i="15"/>
  <c r="AX51" i="15" s="1"/>
  <c r="DD52" i="15"/>
  <c r="AX52" i="15" s="1"/>
  <c r="DD53" i="15"/>
  <c r="AX53" i="15" s="1"/>
  <c r="DD54" i="15"/>
  <c r="AX54" i="15" s="1"/>
  <c r="DD55" i="15"/>
  <c r="AX55" i="15" s="1"/>
  <c r="DD56" i="15"/>
  <c r="AX56" i="15" s="1"/>
  <c r="DD57" i="15"/>
  <c r="AX57" i="15" s="1"/>
  <c r="DD58" i="15"/>
  <c r="AX58" i="15" s="1"/>
  <c r="DD59" i="15"/>
  <c r="AX59" i="15" s="1"/>
  <c r="DD60" i="15"/>
  <c r="AX60" i="15" s="1"/>
  <c r="DD61" i="15"/>
  <c r="AX61" i="15" s="1"/>
  <c r="DD62" i="15"/>
  <c r="AX62" i="15" s="1"/>
  <c r="DD63" i="15"/>
  <c r="AX63" i="15" s="1"/>
  <c r="DD64" i="15"/>
  <c r="AX64" i="15" s="1"/>
  <c r="DD65" i="15"/>
  <c r="AX65" i="15" s="1"/>
  <c r="DD66" i="15"/>
  <c r="AX66" i="15" s="1"/>
  <c r="DD67" i="15"/>
  <c r="AX67" i="15" s="1"/>
  <c r="DD28" i="15"/>
  <c r="AX28" i="15" s="1"/>
  <c r="X17" i="4"/>
  <c r="X16" i="4"/>
  <c r="AK38" i="15" l="1"/>
  <c r="AQ38" i="15" s="1"/>
  <c r="AK39" i="15"/>
  <c r="AQ39" i="15" s="1"/>
  <c r="AK40" i="15"/>
  <c r="AQ40" i="15" s="1"/>
  <c r="AK41" i="15"/>
  <c r="AQ41" i="15" s="1"/>
  <c r="AK42" i="15"/>
  <c r="AQ42" i="15" s="1"/>
  <c r="AK43" i="15"/>
  <c r="AQ43" i="15" s="1"/>
  <c r="AK44" i="15"/>
  <c r="AQ44" i="15" s="1"/>
  <c r="AK45" i="15"/>
  <c r="AQ45" i="15" s="1"/>
  <c r="AK46" i="15"/>
  <c r="AQ46" i="15" s="1"/>
  <c r="AK47" i="15"/>
  <c r="AQ47" i="15" s="1"/>
  <c r="AK48" i="15"/>
  <c r="AQ48" i="15" s="1"/>
  <c r="AK49" i="15"/>
  <c r="AQ49" i="15" s="1"/>
  <c r="AK50" i="15"/>
  <c r="AQ50" i="15" s="1"/>
  <c r="AK51" i="15"/>
  <c r="AQ51" i="15" s="1"/>
  <c r="AK52" i="15"/>
  <c r="AQ52" i="15" s="1"/>
  <c r="AK53" i="15"/>
  <c r="AQ53" i="15" s="1"/>
  <c r="AK54" i="15"/>
  <c r="AQ54" i="15" s="1"/>
  <c r="AK55" i="15"/>
  <c r="AQ55" i="15" s="1"/>
  <c r="AK56" i="15"/>
  <c r="AQ56" i="15" s="1"/>
  <c r="AK57" i="15"/>
  <c r="AQ57" i="15" s="1"/>
  <c r="AK58" i="15"/>
  <c r="AQ58" i="15" s="1"/>
  <c r="AK59" i="15"/>
  <c r="AQ59" i="15" s="1"/>
  <c r="AK60" i="15"/>
  <c r="AQ60" i="15" s="1"/>
  <c r="AK61" i="15"/>
  <c r="AQ61" i="15" s="1"/>
  <c r="AK62" i="15"/>
  <c r="AQ62" i="15" s="1"/>
  <c r="AK63" i="15"/>
  <c r="AQ63" i="15" s="1"/>
  <c r="AK64" i="15"/>
  <c r="AQ64" i="15" s="1"/>
  <c r="AK65" i="15"/>
  <c r="AQ65" i="15" s="1"/>
  <c r="AK66" i="15"/>
  <c r="AQ66" i="15" s="1"/>
  <c r="AK67" i="15"/>
  <c r="AQ67" i="15" s="1"/>
  <c r="AM39" i="15"/>
  <c r="AM40" i="15"/>
  <c r="AM41" i="15"/>
  <c r="AM42" i="15"/>
  <c r="AM43" i="15"/>
  <c r="AM44" i="15"/>
  <c r="AM45" i="15"/>
  <c r="AM46" i="15"/>
  <c r="AM47" i="15"/>
  <c r="AM48" i="15"/>
  <c r="AM49" i="15"/>
  <c r="AM50" i="15"/>
  <c r="AM51" i="15"/>
  <c r="AM52" i="15"/>
  <c r="AM53" i="15"/>
  <c r="AM54" i="15"/>
  <c r="AM55" i="15"/>
  <c r="AM56" i="15"/>
  <c r="AM57" i="15"/>
  <c r="AM58" i="15"/>
  <c r="AM59" i="15"/>
  <c r="AM60" i="15"/>
  <c r="AM61" i="15"/>
  <c r="AM62" i="15"/>
  <c r="AM63" i="15"/>
  <c r="AM64" i="15"/>
  <c r="AM65" i="15"/>
  <c r="AM66" i="15"/>
  <c r="AM67" i="15"/>
  <c r="W11" i="4" l="1"/>
  <c r="W9" i="4" s="1"/>
  <c r="X19" i="4"/>
  <c r="X18" i="4"/>
  <c r="X15" i="4"/>
  <c r="X14" i="4"/>
  <c r="X13" i="4"/>
  <c r="Y11" i="4"/>
  <c r="V23" i="4" l="1"/>
  <c r="V15" i="4"/>
  <c r="V13" i="4"/>
  <c r="V12" i="4"/>
  <c r="V17" i="4"/>
  <c r="V22" i="4"/>
  <c r="V14" i="4"/>
  <c r="V21" i="4"/>
  <c r="V20" i="4"/>
  <c r="V19" i="4"/>
  <c r="V18" i="4"/>
  <c r="V16" i="4"/>
  <c r="X12" i="4"/>
  <c r="X22" i="4"/>
  <c r="X20" i="4"/>
  <c r="X23" i="4"/>
  <c r="X21" i="4"/>
  <c r="H86" i="15"/>
  <c r="AM28" i="15"/>
  <c r="AM29" i="15"/>
  <c r="AM30" i="15"/>
  <c r="AM31" i="15"/>
  <c r="AM32" i="15"/>
  <c r="AM33" i="15"/>
  <c r="AM34" i="15"/>
  <c r="AM35" i="15"/>
  <c r="AM36" i="15"/>
  <c r="AM37" i="15"/>
  <c r="AM38" i="15"/>
  <c r="H90" i="15"/>
  <c r="AF31" i="15" s="1"/>
  <c r="CU28" i="15"/>
  <c r="CV28" i="15"/>
  <c r="CW28" i="15"/>
  <c r="CX28" i="15"/>
  <c r="CY28" i="15"/>
  <c r="CU29" i="15"/>
  <c r="CV29" i="15"/>
  <c r="CW29" i="15"/>
  <c r="CX29" i="15"/>
  <c r="CY29" i="15"/>
  <c r="CU30" i="15"/>
  <c r="CV30" i="15"/>
  <c r="CW30" i="15"/>
  <c r="CX30" i="15"/>
  <c r="CY30" i="15"/>
  <c r="CU31" i="15"/>
  <c r="CV31" i="15"/>
  <c r="CW31" i="15"/>
  <c r="CX31" i="15"/>
  <c r="CY31" i="15"/>
  <c r="CU32" i="15"/>
  <c r="CV32" i="15"/>
  <c r="CW32" i="15"/>
  <c r="CX32" i="15"/>
  <c r="CY32" i="15"/>
  <c r="CU33" i="15"/>
  <c r="CV33" i="15"/>
  <c r="CW33" i="15"/>
  <c r="CX33" i="15"/>
  <c r="CY33" i="15"/>
  <c r="CU34" i="15"/>
  <c r="CV34" i="15"/>
  <c r="CW34" i="15"/>
  <c r="CX34" i="15"/>
  <c r="CY34" i="15"/>
  <c r="CU35" i="15"/>
  <c r="CV35" i="15"/>
  <c r="CW35" i="15"/>
  <c r="CX35" i="15"/>
  <c r="CY35" i="15"/>
  <c r="CU36" i="15"/>
  <c r="CV36" i="15"/>
  <c r="CW36" i="15"/>
  <c r="CX36" i="15"/>
  <c r="CY36" i="15"/>
  <c r="CU37" i="15"/>
  <c r="CV37" i="15"/>
  <c r="CW37" i="15"/>
  <c r="CX37" i="15"/>
  <c r="CY37" i="15"/>
  <c r="CU38" i="15"/>
  <c r="CV38" i="15"/>
  <c r="CW38" i="15"/>
  <c r="CX38" i="15"/>
  <c r="CY38" i="15"/>
  <c r="CU39" i="15"/>
  <c r="CV39" i="15"/>
  <c r="CW39" i="15"/>
  <c r="CX39" i="15"/>
  <c r="CY39" i="15"/>
  <c r="BN39" i="15"/>
  <c r="CU40" i="15"/>
  <c r="CV40" i="15"/>
  <c r="CW40" i="15"/>
  <c r="CX40" i="15"/>
  <c r="CY40" i="15"/>
  <c r="BN40" i="15"/>
  <c r="CU41" i="15"/>
  <c r="CV41" i="15"/>
  <c r="CW41" i="15"/>
  <c r="CX41" i="15"/>
  <c r="CY41" i="15"/>
  <c r="BN41" i="15"/>
  <c r="CU42" i="15"/>
  <c r="CV42" i="15"/>
  <c r="CW42" i="15"/>
  <c r="CX42" i="15"/>
  <c r="CY42" i="15"/>
  <c r="BN42" i="15"/>
  <c r="CU43" i="15"/>
  <c r="CV43" i="15"/>
  <c r="CW43" i="15"/>
  <c r="CX43" i="15"/>
  <c r="CY43" i="15"/>
  <c r="BN43" i="15"/>
  <c r="CU44" i="15"/>
  <c r="CV44" i="15"/>
  <c r="CW44" i="15"/>
  <c r="CX44" i="15"/>
  <c r="CY44" i="15"/>
  <c r="CU45" i="15"/>
  <c r="CV45" i="15"/>
  <c r="CW45" i="15"/>
  <c r="CX45" i="15"/>
  <c r="CY45" i="15"/>
  <c r="BN45" i="15"/>
  <c r="CU46" i="15"/>
  <c r="CV46" i="15"/>
  <c r="CW46" i="15"/>
  <c r="CX46" i="15"/>
  <c r="CY46" i="15"/>
  <c r="BN46" i="15"/>
  <c r="CU47" i="15"/>
  <c r="CV47" i="15"/>
  <c r="CW47" i="15"/>
  <c r="CX47" i="15"/>
  <c r="CY47" i="15"/>
  <c r="BN47" i="15"/>
  <c r="CU48" i="15"/>
  <c r="CV48" i="15"/>
  <c r="CW48" i="15"/>
  <c r="CX48" i="15"/>
  <c r="CY48" i="15"/>
  <c r="BN48" i="15"/>
  <c r="CU49" i="15"/>
  <c r="CV49" i="15"/>
  <c r="CW49" i="15"/>
  <c r="CX49" i="15"/>
  <c r="CY49" i="15"/>
  <c r="BN49" i="15"/>
  <c r="CU50" i="15"/>
  <c r="CV50" i="15"/>
  <c r="CW50" i="15"/>
  <c r="CX50" i="15"/>
  <c r="CY50" i="15"/>
  <c r="BN50" i="15"/>
  <c r="CU51" i="15"/>
  <c r="CV51" i="15"/>
  <c r="CW51" i="15"/>
  <c r="CX51" i="15"/>
  <c r="CY51" i="15"/>
  <c r="BN51" i="15"/>
  <c r="CU52" i="15"/>
  <c r="CV52" i="15"/>
  <c r="CW52" i="15"/>
  <c r="CX52" i="15"/>
  <c r="CY52" i="15"/>
  <c r="BN52" i="15"/>
  <c r="CU53" i="15"/>
  <c r="CV53" i="15"/>
  <c r="CW53" i="15"/>
  <c r="CX53" i="15"/>
  <c r="CY53" i="15"/>
  <c r="BN53" i="15"/>
  <c r="CU54" i="15"/>
  <c r="CV54" i="15"/>
  <c r="CW54" i="15"/>
  <c r="CX54" i="15"/>
  <c r="CY54" i="15"/>
  <c r="BN54" i="15"/>
  <c r="CU55" i="15"/>
  <c r="CV55" i="15"/>
  <c r="CW55" i="15"/>
  <c r="CX55" i="15"/>
  <c r="CY55" i="15"/>
  <c r="BN55" i="15"/>
  <c r="CU56" i="15"/>
  <c r="CV56" i="15"/>
  <c r="CW56" i="15"/>
  <c r="CX56" i="15"/>
  <c r="CY56" i="15"/>
  <c r="BN56" i="15"/>
  <c r="CU57" i="15"/>
  <c r="CV57" i="15"/>
  <c r="CW57" i="15"/>
  <c r="CX57" i="15"/>
  <c r="CY57" i="15"/>
  <c r="BN57" i="15"/>
  <c r="CU58" i="15"/>
  <c r="CV58" i="15"/>
  <c r="CW58" i="15"/>
  <c r="CX58" i="15"/>
  <c r="CY58" i="15"/>
  <c r="BN58" i="15"/>
  <c r="CU59" i="15"/>
  <c r="CV59" i="15"/>
  <c r="CW59" i="15"/>
  <c r="CX59" i="15"/>
  <c r="CY59" i="15"/>
  <c r="BN59" i="15"/>
  <c r="CU60" i="15"/>
  <c r="CV60" i="15"/>
  <c r="CW60" i="15"/>
  <c r="CX60" i="15"/>
  <c r="CY60" i="15"/>
  <c r="BN60" i="15"/>
  <c r="CU61" i="15"/>
  <c r="CV61" i="15"/>
  <c r="CW61" i="15"/>
  <c r="CX61" i="15"/>
  <c r="CY61" i="15"/>
  <c r="BN61" i="15"/>
  <c r="CU62" i="15"/>
  <c r="CV62" i="15"/>
  <c r="CW62" i="15"/>
  <c r="CX62" i="15"/>
  <c r="CY62" i="15"/>
  <c r="BN62" i="15"/>
  <c r="CU63" i="15"/>
  <c r="CV63" i="15"/>
  <c r="CW63" i="15"/>
  <c r="CX63" i="15"/>
  <c r="CY63" i="15"/>
  <c r="BN63" i="15"/>
  <c r="CU64" i="15"/>
  <c r="CV64" i="15"/>
  <c r="CW64" i="15"/>
  <c r="CX64" i="15"/>
  <c r="CY64" i="15"/>
  <c r="BN64" i="15"/>
  <c r="CU65" i="15"/>
  <c r="CV65" i="15"/>
  <c r="CW65" i="15"/>
  <c r="CX65" i="15"/>
  <c r="CY65" i="15"/>
  <c r="BN65" i="15"/>
  <c r="CU66" i="15"/>
  <c r="CV66" i="15"/>
  <c r="CW66" i="15"/>
  <c r="CX66" i="15"/>
  <c r="CY66" i="15"/>
  <c r="BN66" i="15"/>
  <c r="CU67" i="15"/>
  <c r="CV67" i="15"/>
  <c r="CW67" i="15"/>
  <c r="CX67" i="15"/>
  <c r="CY67" i="15"/>
  <c r="BN67" i="15"/>
  <c r="DJ11" i="15"/>
  <c r="AP28" i="15"/>
  <c r="AK28" i="15"/>
  <c r="AQ28" i="15" s="1"/>
  <c r="AP29" i="15"/>
  <c r="AK29" i="15"/>
  <c r="AQ29" i="15" s="1"/>
  <c r="AP30" i="15"/>
  <c r="AK30" i="15"/>
  <c r="AQ30" i="15" s="1"/>
  <c r="AP31" i="15"/>
  <c r="AK31" i="15"/>
  <c r="AQ31" i="15" s="1"/>
  <c r="AP32" i="15"/>
  <c r="AK32" i="15"/>
  <c r="AQ32" i="15" s="1"/>
  <c r="AP33" i="15"/>
  <c r="AK33" i="15"/>
  <c r="AQ33" i="15" s="1"/>
  <c r="AP34" i="15"/>
  <c r="AK34" i="15"/>
  <c r="AQ34" i="15" s="1"/>
  <c r="AP35" i="15"/>
  <c r="AK35" i="15"/>
  <c r="AQ35" i="15" s="1"/>
  <c r="AP36" i="15"/>
  <c r="AK36" i="15"/>
  <c r="AQ36" i="15" s="1"/>
  <c r="AP37" i="15"/>
  <c r="AK37" i="15"/>
  <c r="AQ37" i="15" s="1"/>
  <c r="AP38" i="15"/>
  <c r="AP39" i="15"/>
  <c r="AP40" i="15"/>
  <c r="AP41" i="15"/>
  <c r="AP42" i="15"/>
  <c r="AP43" i="15"/>
  <c r="AP44" i="15"/>
  <c r="AP45" i="15"/>
  <c r="AP46" i="15"/>
  <c r="AP47" i="15"/>
  <c r="AP48" i="15"/>
  <c r="AP49" i="15"/>
  <c r="AP50" i="15"/>
  <c r="AP51" i="15"/>
  <c r="AP52" i="15"/>
  <c r="AP53" i="15"/>
  <c r="AP54" i="15"/>
  <c r="AP55" i="15"/>
  <c r="AP56" i="15"/>
  <c r="AP57" i="15"/>
  <c r="AP58" i="15"/>
  <c r="AP59" i="15"/>
  <c r="AP60" i="15"/>
  <c r="AP61" i="15"/>
  <c r="AP62" i="15"/>
  <c r="AP63" i="15"/>
  <c r="AP64" i="15"/>
  <c r="AP65" i="15"/>
  <c r="AP66" i="15"/>
  <c r="AP67" i="15"/>
  <c r="S28" i="15"/>
  <c r="S32" i="15"/>
  <c r="C158" i="17"/>
  <c r="B9" i="13"/>
  <c r="B10" i="13"/>
  <c r="AN29" i="15"/>
  <c r="AN30" i="15"/>
  <c r="AN31" i="15"/>
  <c r="AN32" i="15"/>
  <c r="AN33" i="15"/>
  <c r="AN34" i="15"/>
  <c r="AN35" i="15"/>
  <c r="AN36" i="15"/>
  <c r="AN37" i="15"/>
  <c r="AN38" i="15"/>
  <c r="S38" i="15"/>
  <c r="AN39" i="15"/>
  <c r="S39" i="15"/>
  <c r="CB39" i="15"/>
  <c r="AN40" i="15"/>
  <c r="S40" i="15"/>
  <c r="CB40" i="15"/>
  <c r="AN41" i="15"/>
  <c r="S41" i="15"/>
  <c r="CB41" i="15"/>
  <c r="AN42" i="15"/>
  <c r="S42" i="15"/>
  <c r="CB42" i="15"/>
  <c r="AN43" i="15"/>
  <c r="S43" i="15"/>
  <c r="CB43" i="15"/>
  <c r="AN44" i="15"/>
  <c r="S44" i="15"/>
  <c r="AN45" i="15"/>
  <c r="S45" i="15"/>
  <c r="CB45" i="15"/>
  <c r="AN46" i="15"/>
  <c r="S46" i="15"/>
  <c r="CB46" i="15"/>
  <c r="AN47" i="15"/>
  <c r="S47" i="15"/>
  <c r="CB47" i="15"/>
  <c r="AN48" i="15"/>
  <c r="S48" i="15"/>
  <c r="CB48" i="15"/>
  <c r="AN49" i="15"/>
  <c r="S49" i="15"/>
  <c r="CB49" i="15"/>
  <c r="AN50" i="15"/>
  <c r="S50" i="15"/>
  <c r="CB50" i="15"/>
  <c r="AN51" i="15"/>
  <c r="S51" i="15"/>
  <c r="CB51" i="15"/>
  <c r="AN52" i="15"/>
  <c r="S52" i="15"/>
  <c r="CB52" i="15"/>
  <c r="AN53" i="15"/>
  <c r="S53" i="15"/>
  <c r="CB53" i="15"/>
  <c r="AN54" i="15"/>
  <c r="S54" i="15"/>
  <c r="CB54" i="15"/>
  <c r="AN55" i="15"/>
  <c r="S55" i="15"/>
  <c r="CB55" i="15"/>
  <c r="AN56" i="15"/>
  <c r="S56" i="15"/>
  <c r="CB56" i="15"/>
  <c r="AN57" i="15"/>
  <c r="S57" i="15"/>
  <c r="CB57" i="15"/>
  <c r="AN58" i="15"/>
  <c r="S58" i="15"/>
  <c r="CB58" i="15"/>
  <c r="AN59" i="15"/>
  <c r="S59" i="15"/>
  <c r="CB59" i="15"/>
  <c r="AN60" i="15"/>
  <c r="S60" i="15"/>
  <c r="CB60" i="15"/>
  <c r="AN61" i="15"/>
  <c r="S61" i="15"/>
  <c r="CB61" i="15"/>
  <c r="AN62" i="15"/>
  <c r="S62" i="15"/>
  <c r="CB62" i="15"/>
  <c r="AN63" i="15"/>
  <c r="S63" i="15"/>
  <c r="CB63" i="15"/>
  <c r="AN64" i="15"/>
  <c r="S64" i="15"/>
  <c r="CB64" i="15"/>
  <c r="AN65" i="15"/>
  <c r="S65" i="15"/>
  <c r="CB65" i="15"/>
  <c r="AN66" i="15"/>
  <c r="S66" i="15"/>
  <c r="CB66" i="15"/>
  <c r="AN67" i="15"/>
  <c r="AO66" i="15" s="1"/>
  <c r="DK66" i="15" s="1"/>
  <c r="S67" i="15"/>
  <c r="CB67" i="15"/>
  <c r="AN28" i="15"/>
  <c r="BP25" i="15"/>
  <c r="G70" i="15"/>
  <c r="J103" i="15"/>
  <c r="J98" i="15"/>
  <c r="J100" i="15" s="1"/>
  <c r="B14" i="13"/>
  <c r="B19" i="13"/>
  <c r="B28" i="13"/>
  <c r="B32" i="13"/>
  <c r="B33" i="13"/>
  <c r="B37" i="13"/>
  <c r="B38" i="13"/>
  <c r="B50" i="13"/>
  <c r="B51" i="13"/>
  <c r="A5" i="18"/>
  <c r="A6" i="18" s="1"/>
  <c r="A7" i="18" s="1"/>
  <c r="F70" i="15"/>
  <c r="C4" i="17"/>
  <c r="C106" i="17"/>
  <c r="C55" i="17"/>
  <c r="BP16" i="15"/>
  <c r="BQ28" i="15"/>
  <c r="B28" i="15" s="1"/>
  <c r="BP17" i="15"/>
  <c r="AR28" i="15"/>
  <c r="BY28" i="15"/>
  <c r="BZ28" i="15"/>
  <c r="CA28" i="15"/>
  <c r="BQ29" i="15"/>
  <c r="B29" i="15" s="1"/>
  <c r="AR29" i="15"/>
  <c r="BY29" i="15"/>
  <c r="BZ29" i="15"/>
  <c r="CA29" i="15"/>
  <c r="AR30" i="15"/>
  <c r="BY30" i="15"/>
  <c r="BZ30" i="15"/>
  <c r="CA30" i="15"/>
  <c r="AR31" i="15"/>
  <c r="BY31" i="15"/>
  <c r="BZ31" i="15"/>
  <c r="CA31" i="15"/>
  <c r="AR32" i="15"/>
  <c r="BY32" i="15"/>
  <c r="BZ32" i="15"/>
  <c r="CA32" i="15"/>
  <c r="AR33" i="15"/>
  <c r="BY33" i="15"/>
  <c r="BZ33" i="15"/>
  <c r="CA33" i="15"/>
  <c r="AR34" i="15"/>
  <c r="BY34" i="15"/>
  <c r="BZ34" i="15"/>
  <c r="CA34" i="15"/>
  <c r="AR35" i="15"/>
  <c r="BY35" i="15"/>
  <c r="BZ35" i="15"/>
  <c r="CA35" i="15"/>
  <c r="AR36" i="15"/>
  <c r="BY36" i="15"/>
  <c r="BZ36" i="15"/>
  <c r="CA36" i="15"/>
  <c r="AR37" i="15"/>
  <c r="BY37" i="15"/>
  <c r="BZ37" i="15"/>
  <c r="CA37" i="15"/>
  <c r="AR38" i="15"/>
  <c r="BY38" i="15"/>
  <c r="BZ38" i="15"/>
  <c r="CA38" i="15"/>
  <c r="AR39" i="15"/>
  <c r="BY39" i="15"/>
  <c r="BZ39" i="15"/>
  <c r="CA39" i="15"/>
  <c r="AR40" i="15"/>
  <c r="BY40" i="15"/>
  <c r="BZ40" i="15"/>
  <c r="CA40" i="15"/>
  <c r="AR41" i="15"/>
  <c r="BY41" i="15"/>
  <c r="BZ41" i="15"/>
  <c r="CA41" i="15"/>
  <c r="AR42" i="15"/>
  <c r="BY42" i="15"/>
  <c r="BZ42" i="15"/>
  <c r="CA42" i="15"/>
  <c r="AR43" i="15"/>
  <c r="BY43" i="15"/>
  <c r="BZ43" i="15"/>
  <c r="CA43" i="15"/>
  <c r="AR44" i="15"/>
  <c r="BY44" i="15"/>
  <c r="BZ44" i="15"/>
  <c r="CA44" i="15"/>
  <c r="AR45" i="15"/>
  <c r="BY45" i="15"/>
  <c r="BZ45" i="15"/>
  <c r="CA45" i="15"/>
  <c r="AR46" i="15"/>
  <c r="BY46" i="15"/>
  <c r="BZ46" i="15"/>
  <c r="CA46" i="15"/>
  <c r="AR47" i="15"/>
  <c r="BY47" i="15"/>
  <c r="BZ47" i="15"/>
  <c r="CA47" i="15"/>
  <c r="AR48" i="15"/>
  <c r="BY48" i="15"/>
  <c r="BZ48" i="15"/>
  <c r="CA48" i="15"/>
  <c r="AR49" i="15"/>
  <c r="BY49" i="15"/>
  <c r="BZ49" i="15"/>
  <c r="CA49" i="15"/>
  <c r="AR50" i="15"/>
  <c r="BY50" i="15"/>
  <c r="BZ50" i="15"/>
  <c r="CA50" i="15"/>
  <c r="AR51" i="15"/>
  <c r="BY51" i="15"/>
  <c r="BZ51" i="15"/>
  <c r="CA51" i="15"/>
  <c r="AR52" i="15"/>
  <c r="BY52" i="15"/>
  <c r="BZ52" i="15"/>
  <c r="CA52" i="15"/>
  <c r="AR53" i="15"/>
  <c r="BY53" i="15"/>
  <c r="BZ53" i="15"/>
  <c r="CA53" i="15"/>
  <c r="AR54" i="15"/>
  <c r="BY54" i="15"/>
  <c r="BZ54" i="15"/>
  <c r="CA54" i="15"/>
  <c r="AR55" i="15"/>
  <c r="BY55" i="15"/>
  <c r="BZ55" i="15"/>
  <c r="CA55" i="15"/>
  <c r="AR56" i="15"/>
  <c r="BY56" i="15"/>
  <c r="BZ56" i="15"/>
  <c r="CA56" i="15"/>
  <c r="AR57" i="15"/>
  <c r="BY57" i="15"/>
  <c r="BZ57" i="15"/>
  <c r="CA57" i="15"/>
  <c r="AR58" i="15"/>
  <c r="BY58" i="15"/>
  <c r="BZ58" i="15"/>
  <c r="CA58" i="15"/>
  <c r="AR59" i="15"/>
  <c r="BY59" i="15"/>
  <c r="BZ59" i="15"/>
  <c r="CA59" i="15"/>
  <c r="AR60" i="15"/>
  <c r="BY60" i="15"/>
  <c r="BZ60" i="15"/>
  <c r="CA60" i="15"/>
  <c r="AR61" i="15"/>
  <c r="BY61" i="15"/>
  <c r="BZ61" i="15"/>
  <c r="CA61" i="15"/>
  <c r="AR62" i="15"/>
  <c r="BY62" i="15"/>
  <c r="BZ62" i="15"/>
  <c r="CA62" i="15"/>
  <c r="AR63" i="15"/>
  <c r="BY63" i="15"/>
  <c r="BZ63" i="15"/>
  <c r="CA63" i="15"/>
  <c r="AR64" i="15"/>
  <c r="BY64" i="15"/>
  <c r="BZ64" i="15"/>
  <c r="CA64" i="15"/>
  <c r="AR65" i="15"/>
  <c r="BY65" i="15"/>
  <c r="BZ65" i="15"/>
  <c r="CA65" i="15"/>
  <c r="AR66" i="15"/>
  <c r="BY66" i="15"/>
  <c r="BZ66" i="15"/>
  <c r="CA66" i="15"/>
  <c r="AR67" i="15"/>
  <c r="BY67" i="15"/>
  <c r="BZ67" i="15"/>
  <c r="CA67" i="15"/>
  <c r="BL75" i="15"/>
  <c r="BQ62" i="15"/>
  <c r="B62" i="15" s="1"/>
  <c r="BQ45" i="15"/>
  <c r="B45" i="15" s="1"/>
  <c r="BQ64" i="15"/>
  <c r="B64" i="15" s="1"/>
  <c r="BQ56" i="15"/>
  <c r="B56" i="15" s="1"/>
  <c r="BQ47" i="15"/>
  <c r="B47" i="15" s="1"/>
  <c r="BQ36" i="15"/>
  <c r="B36" i="15" s="1"/>
  <c r="BQ65" i="15"/>
  <c r="B65" i="15" s="1"/>
  <c r="BQ63" i="15"/>
  <c r="B63" i="15" s="1"/>
  <c r="BQ61" i="15"/>
  <c r="B61" i="15" s="1"/>
  <c r="BQ55" i="15"/>
  <c r="B55" i="15" s="1"/>
  <c r="BQ54" i="15"/>
  <c r="B54" i="15" s="1"/>
  <c r="BQ53" i="15"/>
  <c r="B53" i="15" s="1"/>
  <c r="BQ48" i="15"/>
  <c r="B48" i="15" s="1"/>
  <c r="BQ46" i="15"/>
  <c r="B46" i="15" s="1"/>
  <c r="BQ40" i="15"/>
  <c r="B40" i="15" s="1"/>
  <c r="BQ33" i="15"/>
  <c r="B33" i="15" s="1"/>
  <c r="BQ31" i="15"/>
  <c r="B31" i="15" s="1"/>
  <c r="BQ67" i="15"/>
  <c r="B67" i="15" s="1"/>
  <c r="BQ66" i="15"/>
  <c r="B66" i="15" s="1"/>
  <c r="BQ60" i="15"/>
  <c r="B60" i="15" s="1"/>
  <c r="BQ59" i="15"/>
  <c r="B59" i="15" s="1"/>
  <c r="BQ58" i="15"/>
  <c r="B58" i="15" s="1"/>
  <c r="BQ57" i="15"/>
  <c r="B57" i="15" s="1"/>
  <c r="BQ52" i="15"/>
  <c r="B52" i="15" s="1"/>
  <c r="BQ51" i="15"/>
  <c r="B51" i="15" s="1"/>
  <c r="BQ50" i="15"/>
  <c r="B50" i="15" s="1"/>
  <c r="BQ49" i="15"/>
  <c r="B49" i="15" s="1"/>
  <c r="BQ44" i="15"/>
  <c r="B44" i="15" s="1"/>
  <c r="BQ43" i="15"/>
  <c r="B43" i="15" s="1"/>
  <c r="BQ42" i="15"/>
  <c r="B42" i="15" s="1"/>
  <c r="BQ41" i="15"/>
  <c r="B41" i="15" s="1"/>
  <c r="BQ39" i="15"/>
  <c r="B39" i="15" s="1"/>
  <c r="BQ38" i="15"/>
  <c r="B38" i="15" s="1"/>
  <c r="BQ37" i="15"/>
  <c r="B37" i="15" s="1"/>
  <c r="BQ35" i="15"/>
  <c r="B35" i="15" s="1"/>
  <c r="BQ34" i="15"/>
  <c r="B34" i="15" s="1"/>
  <c r="BQ32" i="15"/>
  <c r="B32" i="15" s="1"/>
  <c r="BQ30" i="15"/>
  <c r="B30" i="15" s="1"/>
  <c r="B11" i="13" l="1"/>
  <c r="B12" i="13" s="1"/>
  <c r="B13" i="13" s="1"/>
  <c r="AF28" i="15"/>
  <c r="AG28" i="15" s="1"/>
  <c r="AO28" i="15"/>
  <c r="DK28" i="15" s="1"/>
  <c r="AO34" i="15"/>
  <c r="DK34" i="15" s="1"/>
  <c r="AF30" i="15"/>
  <c r="AG30" i="15" s="1"/>
  <c r="AO29" i="15"/>
  <c r="DK29" i="15" s="1"/>
  <c r="AF29" i="15"/>
  <c r="AO56" i="15"/>
  <c r="DK56" i="15" s="1"/>
  <c r="AO48" i="15"/>
  <c r="DK48" i="15" s="1"/>
  <c r="AO31" i="15"/>
  <c r="DK31" i="15" s="1"/>
  <c r="AO37" i="15"/>
  <c r="DK37" i="15" s="1"/>
  <c r="V37" i="15"/>
  <c r="W37" i="15" s="1"/>
  <c r="AO64" i="15"/>
  <c r="DK64" i="15" s="1"/>
  <c r="AO52" i="15"/>
  <c r="DK52" i="15" s="1"/>
  <c r="AO38" i="15"/>
  <c r="DK38" i="15" s="1"/>
  <c r="AO30" i="15"/>
  <c r="DK30" i="15" s="1"/>
  <c r="AO33" i="15"/>
  <c r="DK33" i="15" s="1"/>
  <c r="AF53" i="15"/>
  <c r="AG53" i="15" s="1"/>
  <c r="AF52" i="15"/>
  <c r="AG52" i="15" s="1"/>
  <c r="AF46" i="15"/>
  <c r="AG46" i="15" s="1"/>
  <c r="AF45" i="15"/>
  <c r="AG45" i="15" s="1"/>
  <c r="AF62" i="15"/>
  <c r="AG62" i="15" s="1"/>
  <c r="AF44" i="15"/>
  <c r="AH44" i="15" s="1"/>
  <c r="AI44" i="15" s="1"/>
  <c r="AF61" i="15"/>
  <c r="AG61" i="15" s="1"/>
  <c r="AF38" i="15"/>
  <c r="AG38" i="15" s="1"/>
  <c r="AF60" i="15"/>
  <c r="AH60" i="15" s="1"/>
  <c r="AI60" i="15" s="1"/>
  <c r="AF37" i="15"/>
  <c r="AG37" i="15" s="1"/>
  <c r="AF54" i="15"/>
  <c r="AG54" i="15" s="1"/>
  <c r="AF36" i="15"/>
  <c r="AG36" i="15" s="1"/>
  <c r="V33" i="15"/>
  <c r="W33" i="15" s="1"/>
  <c r="V65" i="15"/>
  <c r="Z65" i="15" s="1"/>
  <c r="AG31" i="15"/>
  <c r="V61" i="15"/>
  <c r="Z61" i="15" s="1"/>
  <c r="V57" i="15"/>
  <c r="Z57" i="15" s="1"/>
  <c r="V53" i="15"/>
  <c r="Z53" i="15" s="1"/>
  <c r="AF67" i="15"/>
  <c r="AH67" i="15" s="1"/>
  <c r="AI67" i="15" s="1"/>
  <c r="AF59" i="15"/>
  <c r="AH59" i="15" s="1"/>
  <c r="AI59" i="15" s="1"/>
  <c r="AF51" i="15"/>
  <c r="AF43" i="15"/>
  <c r="AH43" i="15" s="1"/>
  <c r="AI43" i="15" s="1"/>
  <c r="AF35" i="15"/>
  <c r="V49" i="15"/>
  <c r="Z49" i="15" s="1"/>
  <c r="AF66" i="15"/>
  <c r="AH66" i="15" s="1"/>
  <c r="AI66" i="15" s="1"/>
  <c r="AF58" i="15"/>
  <c r="AF50" i="15"/>
  <c r="AF42" i="15"/>
  <c r="AF34" i="15"/>
  <c r="AG34" i="15" s="1"/>
  <c r="V28" i="15"/>
  <c r="W28" i="15" s="1"/>
  <c r="V45" i="15"/>
  <c r="Z45" i="15" s="1"/>
  <c r="AF65" i="15"/>
  <c r="AG65" i="15" s="1"/>
  <c r="AF57" i="15"/>
  <c r="AG57" i="15" s="1"/>
  <c r="AF49" i="15"/>
  <c r="AG49" i="15" s="1"/>
  <c r="AF41" i="15"/>
  <c r="AG41" i="15" s="1"/>
  <c r="AF33" i="15"/>
  <c r="AG33" i="15" s="1"/>
  <c r="V41" i="15"/>
  <c r="Z41" i="15" s="1"/>
  <c r="AF64" i="15"/>
  <c r="AG64" i="15" s="1"/>
  <c r="AF56" i="15"/>
  <c r="AG56" i="15" s="1"/>
  <c r="AF48" i="15"/>
  <c r="AG48" i="15" s="1"/>
  <c r="AF40" i="15"/>
  <c r="AG40" i="15" s="1"/>
  <c r="AF32" i="15"/>
  <c r="AF63" i="15"/>
  <c r="AH63" i="15" s="1"/>
  <c r="AI63" i="15" s="1"/>
  <c r="AF55" i="15"/>
  <c r="AH55" i="15" s="1"/>
  <c r="AI55" i="15" s="1"/>
  <c r="AF47" i="15"/>
  <c r="AF39" i="15"/>
  <c r="AH39" i="15" s="1"/>
  <c r="AI39" i="15" s="1"/>
  <c r="AO36" i="15"/>
  <c r="DK36" i="15" s="1"/>
  <c r="AO35" i="15"/>
  <c r="DK35" i="15" s="1"/>
  <c r="AO32" i="15"/>
  <c r="DK32" i="15" s="1"/>
  <c r="AO60" i="15"/>
  <c r="DK60" i="15" s="1"/>
  <c r="AO44" i="15"/>
  <c r="DK44" i="15" s="1"/>
  <c r="AO65" i="15"/>
  <c r="DK65" i="15" s="1"/>
  <c r="AO63" i="15"/>
  <c r="DK63" i="15" s="1"/>
  <c r="AO62" i="15"/>
  <c r="DK62" i="15" s="1"/>
  <c r="AO61" i="15"/>
  <c r="DK61" i="15" s="1"/>
  <c r="AO59" i="15"/>
  <c r="DK59" i="15" s="1"/>
  <c r="AO58" i="15"/>
  <c r="DK58" i="15" s="1"/>
  <c r="AO57" i="15"/>
  <c r="DK57" i="15" s="1"/>
  <c r="AO55" i="15"/>
  <c r="DK55" i="15" s="1"/>
  <c r="AO54" i="15"/>
  <c r="DK54" i="15" s="1"/>
  <c r="AO53" i="15"/>
  <c r="DK53" i="15" s="1"/>
  <c r="AO51" i="15"/>
  <c r="DK51" i="15" s="1"/>
  <c r="AO50" i="15"/>
  <c r="DK50" i="15" s="1"/>
  <c r="AO49" i="15"/>
  <c r="DK49" i="15" s="1"/>
  <c r="AO47" i="15"/>
  <c r="DK47" i="15" s="1"/>
  <c r="AO46" i="15"/>
  <c r="DK46" i="15" s="1"/>
  <c r="AO45" i="15"/>
  <c r="DK45" i="15" s="1"/>
  <c r="AO39" i="15"/>
  <c r="DK39" i="15" s="1"/>
  <c r="AN22" i="15"/>
  <c r="H18" i="15" s="1"/>
  <c r="AO67" i="15"/>
  <c r="DK67" i="15" s="1"/>
  <c r="AO43" i="15"/>
  <c r="DK43" i="15" s="1"/>
  <c r="AO41" i="15"/>
  <c r="DK41" i="15" s="1"/>
  <c r="B86" i="15"/>
  <c r="V30" i="15"/>
  <c r="W30" i="15" s="1"/>
  <c r="V64" i="15"/>
  <c r="V60" i="15"/>
  <c r="W60" i="15" s="1"/>
  <c r="V56" i="15"/>
  <c r="X56" i="15" s="1"/>
  <c r="Y56" i="15" s="1"/>
  <c r="V52" i="15"/>
  <c r="V48" i="15"/>
  <c r="V44" i="15"/>
  <c r="V40" i="15"/>
  <c r="V36" i="15"/>
  <c r="W36" i="15" s="1"/>
  <c r="V32" i="15"/>
  <c r="W32" i="15" s="1"/>
  <c r="V67" i="15"/>
  <c r="Z67" i="15" s="1"/>
  <c r="V63" i="15"/>
  <c r="Z63" i="15" s="1"/>
  <c r="V59" i="15"/>
  <c r="Z59" i="15" s="1"/>
  <c r="V55" i="15"/>
  <c r="Z55" i="15" s="1"/>
  <c r="V51" i="15"/>
  <c r="Z51" i="15" s="1"/>
  <c r="V47" i="15"/>
  <c r="Z47" i="15" s="1"/>
  <c r="V43" i="15"/>
  <c r="Z43" i="15" s="1"/>
  <c r="V39" i="15"/>
  <c r="Z39" i="15" s="1"/>
  <c r="V35" i="15"/>
  <c r="W35" i="15" s="1"/>
  <c r="V31" i="15"/>
  <c r="W31" i="15" s="1"/>
  <c r="V66" i="15"/>
  <c r="X66" i="15" s="1"/>
  <c r="Y66" i="15" s="1"/>
  <c r="V62" i="15"/>
  <c r="V58" i="15"/>
  <c r="X58" i="15" s="1"/>
  <c r="Y58" i="15" s="1"/>
  <c r="V54" i="15"/>
  <c r="V50" i="15"/>
  <c r="V46" i="15"/>
  <c r="V42" i="15"/>
  <c r="V38" i="15"/>
  <c r="W38" i="15" s="1"/>
  <c r="V34" i="15"/>
  <c r="W34" i="15" s="1"/>
  <c r="AO42" i="15"/>
  <c r="DK42" i="15" s="1"/>
  <c r="AO40" i="15"/>
  <c r="DK40" i="15" s="1"/>
  <c r="DJ60" i="15"/>
  <c r="BI60" i="15" s="1"/>
  <c r="J86" i="15"/>
  <c r="V29" i="15"/>
  <c r="S34" i="15"/>
  <c r="U43" i="15"/>
  <c r="AT43" i="15" s="1"/>
  <c r="U41" i="15"/>
  <c r="AT41" i="15" s="1"/>
  <c r="U39" i="15"/>
  <c r="AT39" i="15" s="1"/>
  <c r="U67" i="15"/>
  <c r="AT67" i="15" s="1"/>
  <c r="U65" i="15"/>
  <c r="AT65" i="15" s="1"/>
  <c r="U63" i="15"/>
  <c r="AT63" i="15" s="1"/>
  <c r="U61" i="15"/>
  <c r="AT61" i="15" s="1"/>
  <c r="U59" i="15"/>
  <c r="AT59" i="15" s="1"/>
  <c r="U57" i="15"/>
  <c r="AT57" i="15" s="1"/>
  <c r="U55" i="15"/>
  <c r="AT55" i="15" s="1"/>
  <c r="U45" i="15"/>
  <c r="AT45" i="15" s="1"/>
  <c r="U42" i="15"/>
  <c r="AT42" i="15" s="1"/>
  <c r="U40" i="15"/>
  <c r="AT40" i="15" s="1"/>
  <c r="S36" i="15"/>
  <c r="S33" i="15"/>
  <c r="U53" i="15"/>
  <c r="AT53" i="15" s="1"/>
  <c r="S31" i="15"/>
  <c r="S30" i="15"/>
  <c r="S29" i="15"/>
  <c r="U66" i="15"/>
  <c r="AT66" i="15" s="1"/>
  <c r="U64" i="15"/>
  <c r="AT64" i="15" s="1"/>
  <c r="U62" i="15"/>
  <c r="AT62" i="15" s="1"/>
  <c r="U60" i="15"/>
  <c r="AT60" i="15" s="1"/>
  <c r="U58" i="15"/>
  <c r="AT58" i="15" s="1"/>
  <c r="U56" i="15"/>
  <c r="AT56" i="15" s="1"/>
  <c r="U54" i="15"/>
  <c r="AT54" i="15" s="1"/>
  <c r="U52" i="15"/>
  <c r="AT52" i="15" s="1"/>
  <c r="U51" i="15"/>
  <c r="AT51" i="15" s="1"/>
  <c r="U50" i="15"/>
  <c r="AT50" i="15" s="1"/>
  <c r="U49" i="15"/>
  <c r="AT49" i="15" s="1"/>
  <c r="U48" i="15"/>
  <c r="AT48" i="15" s="1"/>
  <c r="U47" i="15"/>
  <c r="AT47" i="15" s="1"/>
  <c r="U46" i="15"/>
  <c r="AT46" i="15" s="1"/>
  <c r="S35" i="15"/>
  <c r="S37" i="15"/>
  <c r="AS87" i="15"/>
  <c r="H89" i="15" s="1"/>
  <c r="D10" i="15"/>
  <c r="K98" i="15"/>
  <c r="J101" i="15"/>
  <c r="K101" i="15" s="1"/>
  <c r="L10" i="15"/>
  <c r="K100" i="15"/>
  <c r="B16" i="13" l="1"/>
  <c r="AH57" i="15"/>
  <c r="AI57" i="15" s="1"/>
  <c r="AH62" i="15"/>
  <c r="AI62" i="15" s="1"/>
  <c r="X53" i="15"/>
  <c r="Y53" i="15" s="1"/>
  <c r="W53" i="15"/>
  <c r="AJ62" i="15"/>
  <c r="AH45" i="15"/>
  <c r="AI45" i="15" s="1"/>
  <c r="AJ45" i="15"/>
  <c r="AJ49" i="15"/>
  <c r="W47" i="15"/>
  <c r="CC66" i="15"/>
  <c r="CC52" i="15"/>
  <c r="CC43" i="15"/>
  <c r="CC59" i="15"/>
  <c r="BL39" i="15"/>
  <c r="P39" i="15" s="1"/>
  <c r="CC39" i="15"/>
  <c r="CC34" i="15"/>
  <c r="CC37" i="15"/>
  <c r="BL41" i="15"/>
  <c r="P41" i="15" s="1"/>
  <c r="CC41" i="15"/>
  <c r="CC35" i="15"/>
  <c r="CC36" i="15"/>
  <c r="CC50" i="15"/>
  <c r="CC61" i="15"/>
  <c r="CC38" i="15"/>
  <c r="CC56" i="15"/>
  <c r="CC63" i="15"/>
  <c r="BJ40" i="15"/>
  <c r="CC40" i="15"/>
  <c r="CC57" i="15"/>
  <c r="CC33" i="15"/>
  <c r="CC54" i="15"/>
  <c r="BK42" i="15"/>
  <c r="CC42" i="15"/>
  <c r="CC58" i="15"/>
  <c r="CC49" i="15"/>
  <c r="CC65" i="15"/>
  <c r="CC45" i="15"/>
  <c r="CC44" i="15"/>
  <c r="CC60" i="15"/>
  <c r="CC51" i="15"/>
  <c r="CC67" i="15"/>
  <c r="CC29" i="15"/>
  <c r="CC47" i="15"/>
  <c r="W67" i="15"/>
  <c r="CC46" i="15"/>
  <c r="CC62" i="15"/>
  <c r="CC53" i="15"/>
  <c r="CC30" i="15"/>
  <c r="CC48" i="15"/>
  <c r="CC64" i="15"/>
  <c r="CC55" i="15"/>
  <c r="CC31" i="15"/>
  <c r="J87" i="15"/>
  <c r="J88" i="15" s="1"/>
  <c r="J89" i="15" s="1"/>
  <c r="AG29" i="15"/>
  <c r="AH40" i="15"/>
  <c r="AI40" i="15" s="1"/>
  <c r="X59" i="15"/>
  <c r="Y59" i="15" s="1"/>
  <c r="W59" i="15"/>
  <c r="DJ58" i="15"/>
  <c r="BI58" i="15" s="1"/>
  <c r="X41" i="15"/>
  <c r="Y41" i="15" s="1"/>
  <c r="W41" i="15"/>
  <c r="AJ53" i="15"/>
  <c r="AH52" i="15"/>
  <c r="AI52" i="15" s="1"/>
  <c r="AH53" i="15"/>
  <c r="AI53" i="15" s="1"/>
  <c r="AH49" i="15"/>
  <c r="AI49" i="15" s="1"/>
  <c r="AJ46" i="15"/>
  <c r="X51" i="15"/>
  <c r="Y51" i="15" s="1"/>
  <c r="AJ41" i="15"/>
  <c r="DJ42" i="15"/>
  <c r="BI42" i="15" s="1"/>
  <c r="DJ66" i="15"/>
  <c r="BI66" i="15" s="1"/>
  <c r="DJ39" i="15"/>
  <c r="BI39" i="15" s="1"/>
  <c r="DJ55" i="15"/>
  <c r="BI55" i="15" s="1"/>
  <c r="DJ50" i="15"/>
  <c r="BI50" i="15" s="1"/>
  <c r="DJ59" i="15"/>
  <c r="BI59" i="15" s="1"/>
  <c r="DJ43" i="15"/>
  <c r="BI43" i="15" s="1"/>
  <c r="AH48" i="15"/>
  <c r="AI48" i="15" s="1"/>
  <c r="AJ61" i="15"/>
  <c r="X39" i="15"/>
  <c r="Y39" i="15" s="1"/>
  <c r="AH41" i="15"/>
  <c r="AI41" i="15" s="1"/>
  <c r="W39" i="15"/>
  <c r="AH61" i="15"/>
  <c r="AI61" i="15" s="1"/>
  <c r="X65" i="15"/>
  <c r="Y65" i="15" s="1"/>
  <c r="W65" i="15"/>
  <c r="AJ48" i="15"/>
  <c r="AH46" i="15"/>
  <c r="AI46" i="15" s="1"/>
  <c r="AJ52" i="15"/>
  <c r="AH54" i="15"/>
  <c r="AI54" i="15" s="1"/>
  <c r="X61" i="15"/>
  <c r="Y61" i="15" s="1"/>
  <c r="AJ54" i="15"/>
  <c r="W55" i="15"/>
  <c r="AG44" i="15"/>
  <c r="AJ44" i="15"/>
  <c r="AG60" i="15"/>
  <c r="AJ60" i="15"/>
  <c r="X55" i="15"/>
  <c r="Y55" i="15" s="1"/>
  <c r="DJ61" i="15"/>
  <c r="BI61" i="15" s="1"/>
  <c r="DJ45" i="15"/>
  <c r="BI45" i="15" s="1"/>
  <c r="AJ40" i="15"/>
  <c r="AF70" i="15"/>
  <c r="AF73" i="15" s="1"/>
  <c r="DJ67" i="15"/>
  <c r="BI67" i="15" s="1"/>
  <c r="DJ51" i="15"/>
  <c r="BI51" i="15" s="1"/>
  <c r="X43" i="15"/>
  <c r="Y43" i="15" s="1"/>
  <c r="W43" i="15"/>
  <c r="W51" i="15"/>
  <c r="W61" i="15"/>
  <c r="AJ57" i="15"/>
  <c r="DJ65" i="15"/>
  <c r="BI65" i="15" s="1"/>
  <c r="DJ49" i="15"/>
  <c r="BI49" i="15" s="1"/>
  <c r="X45" i="15"/>
  <c r="Y45" i="15" s="1"/>
  <c r="AH47" i="15"/>
  <c r="AI47" i="15" s="1"/>
  <c r="AH65" i="15"/>
  <c r="AI65" i="15" s="1"/>
  <c r="DJ63" i="15"/>
  <c r="BI63" i="15" s="1"/>
  <c r="W45" i="15"/>
  <c r="X47" i="15"/>
  <c r="Y47" i="15" s="1"/>
  <c r="DJ47" i="15"/>
  <c r="BI47" i="15" s="1"/>
  <c r="AJ65" i="15"/>
  <c r="AH56" i="15"/>
  <c r="AI56" i="15" s="1"/>
  <c r="DJ57" i="15"/>
  <c r="BI57" i="15" s="1"/>
  <c r="DJ41" i="15"/>
  <c r="BI41" i="15" s="1"/>
  <c r="AJ64" i="15"/>
  <c r="X63" i="15"/>
  <c r="Y63" i="15" s="1"/>
  <c r="W63" i="15"/>
  <c r="X49" i="15"/>
  <c r="Y49" i="15" s="1"/>
  <c r="X57" i="15"/>
  <c r="Y57" i="15" s="1"/>
  <c r="W49" i="15"/>
  <c r="W57" i="15"/>
  <c r="AG42" i="15"/>
  <c r="AJ42" i="15"/>
  <c r="AG32" i="15"/>
  <c r="AG50" i="15"/>
  <c r="AJ50" i="15"/>
  <c r="AG59" i="15"/>
  <c r="AJ59" i="15"/>
  <c r="AG58" i="15"/>
  <c r="AJ58" i="15"/>
  <c r="AG67" i="15"/>
  <c r="AJ67" i="15"/>
  <c r="AG51" i="15"/>
  <c r="AJ51" i="15"/>
  <c r="BJ39" i="15"/>
  <c r="AG39" i="15"/>
  <c r="AJ39" i="15"/>
  <c r="AG66" i="15"/>
  <c r="AJ66" i="15"/>
  <c r="DJ53" i="15"/>
  <c r="BI53" i="15" s="1"/>
  <c r="AG47" i="15"/>
  <c r="AJ47" i="15"/>
  <c r="AH42" i="15"/>
  <c r="AI42" i="15" s="1"/>
  <c r="AG55" i="15"/>
  <c r="AJ55" i="15"/>
  <c r="AH50" i="15"/>
  <c r="AI50" i="15" s="1"/>
  <c r="AJ56" i="15"/>
  <c r="AG63" i="15"/>
  <c r="AJ63" i="15"/>
  <c r="AG35" i="15"/>
  <c r="AH51" i="15"/>
  <c r="AI51" i="15" s="1"/>
  <c r="X67" i="15"/>
  <c r="Y67" i="15" s="1"/>
  <c r="AH64" i="15"/>
  <c r="AI64" i="15" s="1"/>
  <c r="AH58" i="15"/>
  <c r="AI58" i="15" s="1"/>
  <c r="AG43" i="15"/>
  <c r="AJ43" i="15"/>
  <c r="DJ48" i="15"/>
  <c r="BI48" i="15" s="1"/>
  <c r="DJ56" i="15"/>
  <c r="BI56" i="15" s="1"/>
  <c r="DJ64" i="15"/>
  <c r="BI64" i="15" s="1"/>
  <c r="DJ52" i="15"/>
  <c r="BI52" i="15" s="1"/>
  <c r="DJ40" i="15"/>
  <c r="BI40" i="15" s="1"/>
  <c r="V70" i="15"/>
  <c r="O98" i="15" s="1"/>
  <c r="AV29" i="15"/>
  <c r="N65" i="15"/>
  <c r="AS65" i="15" s="1"/>
  <c r="BJ41" i="15"/>
  <c r="W54" i="15"/>
  <c r="Z54" i="15"/>
  <c r="X54" i="15"/>
  <c r="Y54" i="15" s="1"/>
  <c r="X48" i="15"/>
  <c r="Y48" i="15" s="1"/>
  <c r="Z48" i="15"/>
  <c r="W48" i="15"/>
  <c r="W64" i="15"/>
  <c r="Z64" i="15"/>
  <c r="W29" i="15"/>
  <c r="DJ54" i="15"/>
  <c r="BI54" i="15" s="1"/>
  <c r="BK40" i="15"/>
  <c r="X64" i="15"/>
  <c r="Y64" i="15" s="1"/>
  <c r="W42" i="15"/>
  <c r="X42" i="15"/>
  <c r="Y42" i="15" s="1"/>
  <c r="Z42" i="15"/>
  <c r="W58" i="15"/>
  <c r="Z58" i="15"/>
  <c r="X52" i="15"/>
  <c r="Y52" i="15" s="1"/>
  <c r="W52" i="15"/>
  <c r="Z52" i="15"/>
  <c r="DJ62" i="15"/>
  <c r="BI62" i="15" s="1"/>
  <c r="W46" i="15"/>
  <c r="Z46" i="15"/>
  <c r="X46" i="15"/>
  <c r="Y46" i="15" s="1"/>
  <c r="W62" i="15"/>
  <c r="Z62" i="15"/>
  <c r="X62" i="15"/>
  <c r="Y62" i="15" s="1"/>
  <c r="X40" i="15"/>
  <c r="Y40" i="15" s="1"/>
  <c r="W40" i="15"/>
  <c r="Z40" i="15"/>
  <c r="W56" i="15"/>
  <c r="Z56" i="15"/>
  <c r="DJ46" i="15"/>
  <c r="BI46" i="15" s="1"/>
  <c r="W50" i="15"/>
  <c r="X50" i="15"/>
  <c r="Y50" i="15" s="1"/>
  <c r="Z50" i="15"/>
  <c r="W66" i="15"/>
  <c r="Z66" i="15"/>
  <c r="X44" i="15"/>
  <c r="Y44" i="15" s="1"/>
  <c r="W44" i="15"/>
  <c r="Z44" i="15"/>
  <c r="X60" i="15"/>
  <c r="Y60" i="15" s="1"/>
  <c r="Z60" i="15"/>
  <c r="AV59" i="15"/>
  <c r="AV55" i="15"/>
  <c r="AV47" i="15"/>
  <c r="AV35" i="15"/>
  <c r="AV66" i="15"/>
  <c r="AV58" i="15"/>
  <c r="AV54" i="15"/>
  <c r="AV42" i="15"/>
  <c r="AV34" i="15"/>
  <c r="AV30" i="15"/>
  <c r="AV61" i="15"/>
  <c r="AV49" i="15"/>
  <c r="AV45" i="15"/>
  <c r="AV37" i="15"/>
  <c r="AV28" i="15"/>
  <c r="AV60" i="15"/>
  <c r="AV56" i="15"/>
  <c r="AV33" i="15"/>
  <c r="CB44" i="15"/>
  <c r="U44" i="15" s="1"/>
  <c r="AT44" i="15" s="1"/>
  <c r="CB38" i="15"/>
  <c r="U38" i="15" s="1"/>
  <c r="AT38" i="15" s="1"/>
  <c r="N63" i="15"/>
  <c r="AS63" i="15" s="1"/>
  <c r="BL40" i="15"/>
  <c r="P40" i="15" s="1"/>
  <c r="BL42" i="15"/>
  <c r="P42" i="15" s="1"/>
  <c r="BJ42" i="15"/>
  <c r="CD50" i="15"/>
  <c r="CD66" i="15"/>
  <c r="CD64" i="15"/>
  <c r="CD58" i="15"/>
  <c r="CD62" i="15"/>
  <c r="CD60" i="15"/>
  <c r="BK39" i="15"/>
  <c r="BK41" i="15"/>
  <c r="CD39" i="15"/>
  <c r="CD41" i="15"/>
  <c r="N43" i="15"/>
  <c r="AS43" i="15" s="1"/>
  <c r="BK46" i="15"/>
  <c r="BL46" i="15"/>
  <c r="P46" i="15" s="1"/>
  <c r="BJ46" i="15"/>
  <c r="BK50" i="15"/>
  <c r="BL50" i="15"/>
  <c r="P50" i="15" s="1"/>
  <c r="BJ50" i="15"/>
  <c r="BK54" i="15"/>
  <c r="BL54" i="15"/>
  <c r="P54" i="15" s="1"/>
  <c r="BJ54" i="15"/>
  <c r="BK58" i="15"/>
  <c r="BL58" i="15"/>
  <c r="P58" i="15" s="1"/>
  <c r="BJ58" i="15"/>
  <c r="BK62" i="15"/>
  <c r="BL62" i="15"/>
  <c r="P62" i="15" s="1"/>
  <c r="BJ62" i="15"/>
  <c r="BK66" i="15"/>
  <c r="BL66" i="15"/>
  <c r="P66" i="15" s="1"/>
  <c r="BJ66" i="15"/>
  <c r="BK45" i="15"/>
  <c r="BJ45" i="15"/>
  <c r="BL45" i="15"/>
  <c r="P45" i="15" s="1"/>
  <c r="BK49" i="15"/>
  <c r="BJ49" i="15"/>
  <c r="BL49" i="15"/>
  <c r="P49" i="15" s="1"/>
  <c r="BK53" i="15"/>
  <c r="BJ53" i="15"/>
  <c r="BL53" i="15"/>
  <c r="P53" i="15" s="1"/>
  <c r="BK57" i="15"/>
  <c r="BJ57" i="15"/>
  <c r="BL57" i="15"/>
  <c r="P57" i="15" s="1"/>
  <c r="BK61" i="15"/>
  <c r="BJ61" i="15"/>
  <c r="BL61" i="15"/>
  <c r="P61" i="15" s="1"/>
  <c r="BK65" i="15"/>
  <c r="BJ65" i="15"/>
  <c r="BL65" i="15"/>
  <c r="P65" i="15" s="1"/>
  <c r="N45" i="15"/>
  <c r="AS45" i="15" s="1"/>
  <c r="CD55" i="15"/>
  <c r="N57" i="15"/>
  <c r="AS57" i="15" s="1"/>
  <c r="CD59" i="15"/>
  <c r="N67" i="15"/>
  <c r="AS67" i="15" s="1"/>
  <c r="BK48" i="15"/>
  <c r="BL48" i="15"/>
  <c r="P48" i="15" s="1"/>
  <c r="BJ48" i="15"/>
  <c r="BK52" i="15"/>
  <c r="BL52" i="15"/>
  <c r="P52" i="15" s="1"/>
  <c r="BJ52" i="15"/>
  <c r="BK56" i="15"/>
  <c r="BL56" i="15"/>
  <c r="P56" i="15" s="1"/>
  <c r="BJ56" i="15"/>
  <c r="BK60" i="15"/>
  <c r="BL60" i="15"/>
  <c r="P60" i="15" s="1"/>
  <c r="BJ60" i="15"/>
  <c r="BK64" i="15"/>
  <c r="BL64" i="15"/>
  <c r="P64" i="15" s="1"/>
  <c r="BJ64" i="15"/>
  <c r="BK43" i="15"/>
  <c r="BJ43" i="15"/>
  <c r="BL43" i="15"/>
  <c r="P43" i="15" s="1"/>
  <c r="BK47" i="15"/>
  <c r="BJ47" i="15"/>
  <c r="BL47" i="15"/>
  <c r="P47" i="15" s="1"/>
  <c r="BK51" i="15"/>
  <c r="BJ51" i="15"/>
  <c r="BL51" i="15"/>
  <c r="P51" i="15" s="1"/>
  <c r="BK55" i="15"/>
  <c r="BJ55" i="15"/>
  <c r="BL55" i="15"/>
  <c r="P55" i="15" s="1"/>
  <c r="BK59" i="15"/>
  <c r="BJ59" i="15"/>
  <c r="BL59" i="15"/>
  <c r="P59" i="15" s="1"/>
  <c r="BK63" i="15"/>
  <c r="BJ63" i="15"/>
  <c r="BL63" i="15"/>
  <c r="P63" i="15" s="1"/>
  <c r="BK67" i="15"/>
  <c r="BJ67" i="15"/>
  <c r="BL67" i="15"/>
  <c r="P67" i="15" s="1"/>
  <c r="AA28" i="15"/>
  <c r="AB28" i="15" s="1"/>
  <c r="CB30" i="15"/>
  <c r="U30" i="15" s="1"/>
  <c r="AT30" i="15" s="1"/>
  <c r="CB28" i="15"/>
  <c r="CB29" i="15"/>
  <c r="U29" i="15" s="1"/>
  <c r="AT29" i="15" s="1"/>
  <c r="CB31" i="15"/>
  <c r="U31" i="15" s="1"/>
  <c r="AT31" i="15" s="1"/>
  <c r="CB32" i="15"/>
  <c r="U32" i="15" s="1"/>
  <c r="AT32" i="15" s="1"/>
  <c r="CB33" i="15"/>
  <c r="U33" i="15" s="1"/>
  <c r="AT33" i="15" s="1"/>
  <c r="CB34" i="15"/>
  <c r="U34" i="15" s="1"/>
  <c r="AT34" i="15" s="1"/>
  <c r="CB35" i="15"/>
  <c r="U35" i="15" s="1"/>
  <c r="AT35" i="15" s="1"/>
  <c r="CB36" i="15"/>
  <c r="U36" i="15" s="1"/>
  <c r="AT36" i="15" s="1"/>
  <c r="CB37" i="15"/>
  <c r="U37" i="15" s="1"/>
  <c r="AT37" i="15" s="1"/>
  <c r="N40" i="15"/>
  <c r="AS40" i="15" s="1"/>
  <c r="N54" i="15"/>
  <c r="AS54" i="15" s="1"/>
  <c r="N56" i="15"/>
  <c r="AS56" i="15" s="1"/>
  <c r="CD47" i="15"/>
  <c r="N48" i="15"/>
  <c r="AS48" i="15" s="1"/>
  <c r="CD49" i="15"/>
  <c r="N51" i="15"/>
  <c r="AS51" i="15" s="1"/>
  <c r="CD52" i="15"/>
  <c r="N53" i="15"/>
  <c r="AS53" i="15" s="1"/>
  <c r="S73" i="15"/>
  <c r="AA67" i="15"/>
  <c r="AE67" i="15" s="1"/>
  <c r="AA31" i="15"/>
  <c r="AA51" i="15"/>
  <c r="AC51" i="15" s="1"/>
  <c r="AD51" i="15" s="1"/>
  <c r="AA50" i="15"/>
  <c r="AE50" i="15" s="1"/>
  <c r="AA59" i="15"/>
  <c r="AC59" i="15" s="1"/>
  <c r="AD59" i="15" s="1"/>
  <c r="AA43" i="15"/>
  <c r="AC43" i="15" s="1"/>
  <c r="AD43" i="15" s="1"/>
  <c r="AA56" i="15"/>
  <c r="AB56" i="15" s="1"/>
  <c r="AA63" i="15"/>
  <c r="AC63" i="15" s="1"/>
  <c r="AD63" i="15" s="1"/>
  <c r="AA55" i="15"/>
  <c r="AC55" i="15" s="1"/>
  <c r="AD55" i="15" s="1"/>
  <c r="AA47" i="15"/>
  <c r="AC47" i="15" s="1"/>
  <c r="AD47" i="15" s="1"/>
  <c r="AA39" i="15"/>
  <c r="AC39" i="15" s="1"/>
  <c r="AD39" i="15" s="1"/>
  <c r="AA66" i="15"/>
  <c r="AE66" i="15" s="1"/>
  <c r="AA34" i="15"/>
  <c r="AA40" i="15"/>
  <c r="AE40" i="15" s="1"/>
  <c r="AA65" i="15"/>
  <c r="AC65" i="15" s="1"/>
  <c r="AD65" i="15" s="1"/>
  <c r="AA61" i="15"/>
  <c r="AC61" i="15" s="1"/>
  <c r="AD61" i="15" s="1"/>
  <c r="AA57" i="15"/>
  <c r="AC57" i="15" s="1"/>
  <c r="AD57" i="15" s="1"/>
  <c r="AA53" i="15"/>
  <c r="AC53" i="15" s="1"/>
  <c r="AD53" i="15" s="1"/>
  <c r="AA49" i="15"/>
  <c r="AC49" i="15" s="1"/>
  <c r="AD49" i="15" s="1"/>
  <c r="AA45" i="15"/>
  <c r="AC45" i="15" s="1"/>
  <c r="AD45" i="15" s="1"/>
  <c r="AA41" i="15"/>
  <c r="AC41" i="15" s="1"/>
  <c r="AD41" i="15" s="1"/>
  <c r="AA35" i="15"/>
  <c r="AA58" i="15"/>
  <c r="AC58" i="15" s="1"/>
  <c r="AD58" i="15" s="1"/>
  <c r="AA42" i="15"/>
  <c r="AC42" i="15" s="1"/>
  <c r="AD42" i="15" s="1"/>
  <c r="AA64" i="15"/>
  <c r="AB64" i="15" s="1"/>
  <c r="AA48" i="15"/>
  <c r="AE48" i="15" s="1"/>
  <c r="AA32" i="15"/>
  <c r="AB32" i="15" s="1"/>
  <c r="AA37" i="15"/>
  <c r="AB37" i="15" s="1"/>
  <c r="AA33" i="15"/>
  <c r="AA29" i="15"/>
  <c r="AB29" i="15" s="1"/>
  <c r="AA62" i="15"/>
  <c r="AA54" i="15"/>
  <c r="AA46" i="15"/>
  <c r="AA38" i="15"/>
  <c r="AA30" i="15"/>
  <c r="AA60" i="15"/>
  <c r="AC60" i="15" s="1"/>
  <c r="AD60" i="15" s="1"/>
  <c r="AA52" i="15"/>
  <c r="AC52" i="15" s="1"/>
  <c r="AD52" i="15" s="1"/>
  <c r="AA44" i="15"/>
  <c r="AB44" i="15" s="1"/>
  <c r="AA36" i="15"/>
  <c r="B21" i="13" l="1"/>
  <c r="B22" i="13" s="1"/>
  <c r="O91" i="15"/>
  <c r="J70" i="15"/>
  <c r="AV44" i="15"/>
  <c r="AV32" i="15"/>
  <c r="AV41" i="15"/>
  <c r="AV52" i="15"/>
  <c r="AV46" i="15"/>
  <c r="AV48" i="15"/>
  <c r="AV51" i="15"/>
  <c r="AV53" i="15"/>
  <c r="AV65" i="15"/>
  <c r="AV43" i="15"/>
  <c r="AV57" i="15"/>
  <c r="AV31" i="15"/>
  <c r="AV64" i="15"/>
  <c r="AV63" i="15"/>
  <c r="AV39" i="15"/>
  <c r="AV40" i="15"/>
  <c r="AV36" i="15"/>
  <c r="AV50" i="15"/>
  <c r="AV67" i="15"/>
  <c r="AV38" i="15"/>
  <c r="AV62" i="15"/>
  <c r="CC32" i="15"/>
  <c r="O100" i="15"/>
  <c r="J72" i="15" s="1"/>
  <c r="CD65" i="15"/>
  <c r="CD63" i="15"/>
  <c r="AG70" i="15"/>
  <c r="I146" i="15" s="1"/>
  <c r="V73" i="15"/>
  <c r="N60" i="15"/>
  <c r="AS60" i="15" s="1"/>
  <c r="N66" i="15"/>
  <c r="AS66" i="15" s="1"/>
  <c r="AW87" i="15"/>
  <c r="CD42" i="15"/>
  <c r="N42" i="15"/>
  <c r="AS42" i="15" s="1"/>
  <c r="N58" i="15"/>
  <c r="AS58" i="15" s="1"/>
  <c r="W70" i="15"/>
  <c r="N50" i="15"/>
  <c r="AS50" i="15" s="1"/>
  <c r="CD36" i="15"/>
  <c r="N62" i="15"/>
  <c r="AS62" i="15" s="1"/>
  <c r="N55" i="15"/>
  <c r="AS55" i="15" s="1"/>
  <c r="N64" i="15"/>
  <c r="AS64" i="15" s="1"/>
  <c r="CD43" i="15"/>
  <c r="AC64" i="15"/>
  <c r="AD64" i="15" s="1"/>
  <c r="AC50" i="15"/>
  <c r="AD50" i="15" s="1"/>
  <c r="AE56" i="15"/>
  <c r="N39" i="15"/>
  <c r="AS39" i="15" s="1"/>
  <c r="CD54" i="15"/>
  <c r="CD45" i="15"/>
  <c r="CD57" i="15"/>
  <c r="N59" i="15"/>
  <c r="AS59" i="15" s="1"/>
  <c r="AC67" i="15"/>
  <c r="AD67" i="15" s="1"/>
  <c r="CD40" i="15"/>
  <c r="AB67" i="15"/>
  <c r="CD67" i="15"/>
  <c r="CD46" i="15"/>
  <c r="N46" i="15"/>
  <c r="AS46" i="15" s="1"/>
  <c r="N41" i="15"/>
  <c r="AS41" i="15" s="1"/>
  <c r="CD56" i="15"/>
  <c r="AB40" i="15"/>
  <c r="AE55" i="15"/>
  <c r="AE57" i="15"/>
  <c r="AE51" i="15"/>
  <c r="AB59" i="15"/>
  <c r="AB51" i="15"/>
  <c r="AE59" i="15"/>
  <c r="AE41" i="15"/>
  <c r="AE49" i="15"/>
  <c r="AE65" i="15"/>
  <c r="AB39" i="15"/>
  <c r="AB55" i="15"/>
  <c r="AC56" i="15"/>
  <c r="AD56" i="15" s="1"/>
  <c r="AB41" i="15"/>
  <c r="AB49" i="15"/>
  <c r="AB57" i="15"/>
  <c r="AB65" i="15"/>
  <c r="AE39" i="15"/>
  <c r="AE61" i="15"/>
  <c r="AE45" i="15"/>
  <c r="AB47" i="15"/>
  <c r="AE53" i="15"/>
  <c r="AB43" i="15"/>
  <c r="AB63" i="15"/>
  <c r="AB60" i="15"/>
  <c r="N29" i="15"/>
  <c r="AB35" i="15"/>
  <c r="AB31" i="15"/>
  <c r="AB33" i="15"/>
  <c r="AB45" i="15"/>
  <c r="AB53" i="15"/>
  <c r="AB61" i="15"/>
  <c r="AE43" i="15"/>
  <c r="AE47" i="15"/>
  <c r="AE63" i="15"/>
  <c r="AB66" i="15"/>
  <c r="AC40" i="15"/>
  <c r="AD40" i="15" s="1"/>
  <c r="AE60" i="15"/>
  <c r="AC44" i="15"/>
  <c r="AD44" i="15" s="1"/>
  <c r="U28" i="15"/>
  <c r="AT28" i="15" s="1"/>
  <c r="CD37" i="15"/>
  <c r="N37" i="15"/>
  <c r="AH37" i="15" s="1"/>
  <c r="AI37" i="15" s="1"/>
  <c r="AB52" i="15"/>
  <c r="AB48" i="15"/>
  <c r="AC48" i="15"/>
  <c r="AD48" i="15" s="1"/>
  <c r="N33" i="15"/>
  <c r="CD33" i="15"/>
  <c r="AB36" i="15"/>
  <c r="AE52" i="15"/>
  <c r="AE64" i="15"/>
  <c r="AC66" i="15"/>
  <c r="AD66" i="15" s="1"/>
  <c r="N52" i="15"/>
  <c r="AS52" i="15" s="1"/>
  <c r="N47" i="15"/>
  <c r="AS47" i="15" s="1"/>
  <c r="N49" i="15"/>
  <c r="AS49" i="15" s="1"/>
  <c r="CB70" i="15"/>
  <c r="AE44" i="15"/>
  <c r="CD48" i="15"/>
  <c r="CD51" i="15"/>
  <c r="CD53" i="15"/>
  <c r="N35" i="15"/>
  <c r="CD35" i="15"/>
  <c r="CD32" i="15"/>
  <c r="N61" i="15"/>
  <c r="AS61" i="15" s="1"/>
  <c r="CD61" i="15"/>
  <c r="AB50" i="15"/>
  <c r="AB34" i="15"/>
  <c r="AE58" i="15"/>
  <c r="AB58" i="15"/>
  <c r="AE42" i="15"/>
  <c r="AB42" i="15"/>
  <c r="J90" i="15"/>
  <c r="K87" i="15" s="1"/>
  <c r="AB30" i="15"/>
  <c r="AE46" i="15"/>
  <c r="AB46" i="15"/>
  <c r="AC46" i="15"/>
  <c r="AD46" i="15" s="1"/>
  <c r="AE62" i="15"/>
  <c r="AB62" i="15"/>
  <c r="AC62" i="15"/>
  <c r="AD62" i="15" s="1"/>
  <c r="AE38" i="15"/>
  <c r="AB38" i="15"/>
  <c r="AC38" i="15"/>
  <c r="AD38" i="15" s="1"/>
  <c r="AE54" i="15"/>
  <c r="AB54" i="15"/>
  <c r="AC54" i="15"/>
  <c r="AD54" i="15" s="1"/>
  <c r="AA70" i="15"/>
  <c r="O99" i="15" s="1"/>
  <c r="X35" i="15" l="1"/>
  <c r="Y35" i="15" s="1"/>
  <c r="AH35" i="15"/>
  <c r="AI35" i="15" s="1"/>
  <c r="AS33" i="15"/>
  <c r="AH33" i="15"/>
  <c r="AI33" i="15" s="1"/>
  <c r="X37" i="15"/>
  <c r="Y37" i="15" s="1"/>
  <c r="AC35" i="15"/>
  <c r="AD35" i="15" s="1"/>
  <c r="AC33" i="15"/>
  <c r="AD33" i="15" s="1"/>
  <c r="B23" i="13"/>
  <c r="K86" i="15"/>
  <c r="K90" i="15"/>
  <c r="K89" i="15"/>
  <c r="K88" i="15"/>
  <c r="AS29" i="15"/>
  <c r="AH29" i="15"/>
  <c r="AI29" i="15" s="1"/>
  <c r="AC29" i="15"/>
  <c r="AD29" i="15" s="1"/>
  <c r="AU33" i="15"/>
  <c r="O33" i="15" s="1"/>
  <c r="AJ33" i="15" s="1"/>
  <c r="I138" i="15"/>
  <c r="N28" i="15"/>
  <c r="AU64" i="15"/>
  <c r="O64" i="15" s="1"/>
  <c r="AU32" i="15"/>
  <c r="O32" i="15" s="1"/>
  <c r="AJ32" i="15" s="1"/>
  <c r="AU44" i="15"/>
  <c r="O44" i="15" s="1"/>
  <c r="AU35" i="15"/>
  <c r="O35" i="15" s="1"/>
  <c r="AJ35" i="15" s="1"/>
  <c r="AU28" i="15"/>
  <c r="O28" i="15" s="1"/>
  <c r="AU50" i="15"/>
  <c r="O50" i="15" s="1"/>
  <c r="AU66" i="15"/>
  <c r="O66" i="15" s="1"/>
  <c r="AU53" i="15"/>
  <c r="O53" i="15" s="1"/>
  <c r="AU59" i="15"/>
  <c r="O59" i="15" s="1"/>
  <c r="AU41" i="15"/>
  <c r="O41" i="15" s="1"/>
  <c r="AU30" i="15"/>
  <c r="O30" i="15" s="1"/>
  <c r="AJ30" i="15" s="1"/>
  <c r="AU54" i="15"/>
  <c r="O54" i="15" s="1"/>
  <c r="AU67" i="15"/>
  <c r="O67" i="15" s="1"/>
  <c r="AU45" i="15"/>
  <c r="O45" i="15" s="1"/>
  <c r="AU63" i="15"/>
  <c r="O63" i="15" s="1"/>
  <c r="AU31" i="15"/>
  <c r="O31" i="15" s="1"/>
  <c r="AJ31" i="15" s="1"/>
  <c r="AU37" i="15"/>
  <c r="O37" i="15" s="1"/>
  <c r="Z37" i="15" s="1"/>
  <c r="AU42" i="15"/>
  <c r="O42" i="15" s="1"/>
  <c r="AU57" i="15"/>
  <c r="O57" i="15" s="1"/>
  <c r="AU40" i="15"/>
  <c r="O40" i="15" s="1"/>
  <c r="AU39" i="15"/>
  <c r="O39" i="15" s="1"/>
  <c r="AU62" i="15"/>
  <c r="O62" i="15" s="1"/>
  <c r="AU51" i="15"/>
  <c r="O51" i="15" s="1"/>
  <c r="AU48" i="15"/>
  <c r="O48" i="15" s="1"/>
  <c r="AU55" i="15"/>
  <c r="O55" i="15" s="1"/>
  <c r="AU58" i="15"/>
  <c r="O58" i="15" s="1"/>
  <c r="AU38" i="15"/>
  <c r="O38" i="15" s="1"/>
  <c r="AU60" i="15"/>
  <c r="O60" i="15" s="1"/>
  <c r="AU34" i="15"/>
  <c r="O34" i="15" s="1"/>
  <c r="AJ34" i="15" s="1"/>
  <c r="AU29" i="15"/>
  <c r="O29" i="15" s="1"/>
  <c r="AE29" i="15" s="1"/>
  <c r="AU36" i="15"/>
  <c r="O36" i="15" s="1"/>
  <c r="AU52" i="15"/>
  <c r="O52" i="15" s="1"/>
  <c r="AU47" i="15"/>
  <c r="O47" i="15" s="1"/>
  <c r="AU49" i="15"/>
  <c r="O49" i="15" s="1"/>
  <c r="AU65" i="15"/>
  <c r="O65" i="15" s="1"/>
  <c r="AU46" i="15"/>
  <c r="O46" i="15" s="1"/>
  <c r="AU61" i="15"/>
  <c r="O61" i="15" s="1"/>
  <c r="AU43" i="15"/>
  <c r="O43" i="15" s="1"/>
  <c r="AU56" i="15"/>
  <c r="O56" i="15" s="1"/>
  <c r="N36" i="15"/>
  <c r="AH36" i="15" s="1"/>
  <c r="AI36" i="15" s="1"/>
  <c r="AC37" i="15"/>
  <c r="AD37" i="15" s="1"/>
  <c r="X33" i="15"/>
  <c r="Y33" i="15" s="1"/>
  <c r="N38" i="15"/>
  <c r="X38" i="15" s="1"/>
  <c r="Y38" i="15" s="1"/>
  <c r="CD38" i="15"/>
  <c r="N34" i="15"/>
  <c r="CD34" i="15"/>
  <c r="N44" i="15"/>
  <c r="AS44" i="15" s="1"/>
  <c r="CD44" i="15"/>
  <c r="AS37" i="15"/>
  <c r="Z38" i="15"/>
  <c r="AJ38" i="15"/>
  <c r="AS35" i="15"/>
  <c r="N30" i="15"/>
  <c r="CD30" i="15"/>
  <c r="N32" i="15"/>
  <c r="AH32" i="15" s="1"/>
  <c r="AI32" i="15" s="1"/>
  <c r="X29" i="15"/>
  <c r="Y29" i="15" s="1"/>
  <c r="CD29" i="15"/>
  <c r="N31" i="15"/>
  <c r="CD31" i="15"/>
  <c r="AB70" i="15"/>
  <c r="J91" i="15"/>
  <c r="J71" i="15"/>
  <c r="AA73" i="15"/>
  <c r="AC34" i="15" l="1"/>
  <c r="AD34" i="15" s="1"/>
  <c r="AH34" i="15"/>
  <c r="AI34" i="15" s="1"/>
  <c r="AC31" i="15"/>
  <c r="AD31" i="15" s="1"/>
  <c r="AH31" i="15"/>
  <c r="AI31" i="15" s="1"/>
  <c r="Z36" i="15"/>
  <c r="AJ36" i="15"/>
  <c r="AC30" i="15"/>
  <c r="AD30" i="15" s="1"/>
  <c r="AH30" i="15"/>
  <c r="AI30" i="15" s="1"/>
  <c r="Z35" i="15"/>
  <c r="AE35" i="15"/>
  <c r="Z34" i="15"/>
  <c r="AE34" i="15"/>
  <c r="Z33" i="15"/>
  <c r="AE33" i="15"/>
  <c r="Z32" i="15"/>
  <c r="AE32" i="15"/>
  <c r="AS32" i="15"/>
  <c r="AC32" i="15"/>
  <c r="AD32" i="15" s="1"/>
  <c r="Z31" i="15"/>
  <c r="AE31" i="15"/>
  <c r="Z30" i="15"/>
  <c r="AE30" i="15"/>
  <c r="AJ37" i="15"/>
  <c r="AC36" i="15"/>
  <c r="AD36" i="15" s="1"/>
  <c r="X36" i="15"/>
  <c r="Y36" i="15" s="1"/>
  <c r="Z29" i="15"/>
  <c r="AJ29" i="15"/>
  <c r="Z28" i="15"/>
  <c r="AJ28" i="15"/>
  <c r="AE28" i="15"/>
  <c r="AS28" i="15"/>
  <c r="AH28" i="15"/>
  <c r="AI28" i="15" s="1"/>
  <c r="AC28" i="15"/>
  <c r="AD28" i="15" s="1"/>
  <c r="CD28" i="15"/>
  <c r="CD70" i="15" s="1"/>
  <c r="AS36" i="15"/>
  <c r="X32" i="15"/>
  <c r="Y32" i="15" s="1"/>
  <c r="AE37" i="15"/>
  <c r="AE36" i="15"/>
  <c r="X30" i="15"/>
  <c r="Y30" i="15" s="1"/>
  <c r="AS34" i="15"/>
  <c r="X34" i="15"/>
  <c r="Y34" i="15" s="1"/>
  <c r="AH38" i="15"/>
  <c r="AI38" i="15" s="1"/>
  <c r="AS38" i="15"/>
  <c r="AS30" i="15"/>
  <c r="X28" i="15"/>
  <c r="BN38" i="15"/>
  <c r="DJ38" i="15" s="1"/>
  <c r="BI38" i="15" s="1"/>
  <c r="BN44" i="15"/>
  <c r="DJ44" i="15" s="1"/>
  <c r="BI44" i="15" s="1"/>
  <c r="AS31" i="15"/>
  <c r="X31" i="15"/>
  <c r="BN36" i="15"/>
  <c r="DJ36" i="15" s="1"/>
  <c r="BI36" i="15" s="1"/>
  <c r="BN37" i="15"/>
  <c r="DJ37" i="15" s="1"/>
  <c r="BI37" i="15" s="1"/>
  <c r="BN28" i="15"/>
  <c r="BN31" i="15"/>
  <c r="DJ31" i="15" s="1"/>
  <c r="BI31" i="15" s="1"/>
  <c r="BN35" i="15"/>
  <c r="DJ35" i="15" s="1"/>
  <c r="BI35" i="15" s="1"/>
  <c r="BN32" i="15"/>
  <c r="DJ32" i="15" s="1"/>
  <c r="BI32" i="15" s="1"/>
  <c r="BN29" i="15"/>
  <c r="DJ29" i="15" s="1"/>
  <c r="BI29" i="15" s="1"/>
  <c r="BN33" i="15"/>
  <c r="DJ33" i="15" s="1"/>
  <c r="BI33" i="15" s="1"/>
  <c r="BN30" i="15"/>
  <c r="DJ30" i="15" s="1"/>
  <c r="BI30" i="15" s="1"/>
  <c r="BN34" i="15"/>
  <c r="DJ34" i="15" s="1"/>
  <c r="BI34" i="15" s="1"/>
  <c r="I142" i="15"/>
  <c r="H119" i="15"/>
  <c r="H118" i="15"/>
  <c r="B24" i="13" l="1"/>
  <c r="B25" i="13" s="1"/>
  <c r="B26" i="13" s="1"/>
  <c r="AD70" i="15"/>
  <c r="AC70" i="15" s="1"/>
  <c r="Z70" i="15"/>
  <c r="I151" i="15"/>
  <c r="I159" i="15"/>
  <c r="BJ30" i="15" s="1"/>
  <c r="AJ70" i="15"/>
  <c r="AI70" i="15"/>
  <c r="AH70" i="15" s="1"/>
  <c r="Y28" i="15"/>
  <c r="BJ38" i="15"/>
  <c r="AE70" i="15"/>
  <c r="I155" i="15"/>
  <c r="Y31" i="15"/>
  <c r="BN70" i="15"/>
  <c r="BN71" i="15" s="1"/>
  <c r="AY28" i="15" s="1"/>
  <c r="DJ28" i="15"/>
  <c r="DJ25" i="15" s="1"/>
  <c r="BJ32" i="15" l="1"/>
  <c r="BJ34" i="15"/>
  <c r="BJ36" i="15"/>
  <c r="BJ33" i="15"/>
  <c r="B30" i="13"/>
  <c r="B31" i="13" s="1"/>
  <c r="BJ31" i="15"/>
  <c r="BJ35" i="15"/>
  <c r="BJ29" i="15"/>
  <c r="BJ28" i="15"/>
  <c r="BJ44" i="15"/>
  <c r="BJ37" i="15"/>
  <c r="Y70" i="15"/>
  <c r="X70" i="15" s="1"/>
  <c r="BI28" i="15"/>
  <c r="B35" i="13" l="1"/>
  <c r="B40" i="13" s="1"/>
  <c r="B41" i="13" s="1"/>
  <c r="B42" i="13" s="1"/>
  <c r="O103" i="15"/>
  <c r="N70" i="15" s="1"/>
  <c r="P103" i="15"/>
  <c r="O106" i="15"/>
  <c r="I112" i="15"/>
  <c r="BB67" i="15"/>
  <c r="BB59" i="15"/>
  <c r="BB51" i="15"/>
  <c r="BB43" i="15"/>
  <c r="BC64" i="15"/>
  <c r="BA67" i="15"/>
  <c r="BA59" i="15"/>
  <c r="BA51" i="15"/>
  <c r="BA43" i="15"/>
  <c r="BD64" i="15"/>
  <c r="BE60" i="15"/>
  <c r="BE56" i="15"/>
  <c r="BD52" i="15"/>
  <c r="BF46" i="15"/>
  <c r="BC41" i="15"/>
  <c r="BF60" i="15"/>
  <c r="BF56" i="15"/>
  <c r="BC51" i="15"/>
  <c r="BD46" i="15"/>
  <c r="BF40" i="15"/>
  <c r="BF51" i="15"/>
  <c r="BF47" i="15"/>
  <c r="BF43" i="15"/>
  <c r="BF39" i="15"/>
  <c r="BB66" i="15"/>
  <c r="BB58" i="15"/>
  <c r="BB50" i="15"/>
  <c r="BB42" i="15"/>
  <c r="BD67" i="15"/>
  <c r="BD63" i="15"/>
  <c r="BA64" i="15"/>
  <c r="BB65" i="15"/>
  <c r="BB57" i="15"/>
  <c r="BB49" i="15"/>
  <c r="BB41" i="15"/>
  <c r="BF67" i="15"/>
  <c r="BF63" i="15"/>
  <c r="BA65" i="15"/>
  <c r="BA57" i="15"/>
  <c r="BA49" i="15"/>
  <c r="BA41" i="15"/>
  <c r="BE67" i="15"/>
  <c r="BE63" i="15"/>
  <c r="BD59" i="15"/>
  <c r="BD55" i="15"/>
  <c r="BF50" i="15"/>
  <c r="BC45" i="15"/>
  <c r="BD40" i="15"/>
  <c r="BC59" i="15"/>
  <c r="BC55" i="15"/>
  <c r="BD50" i="15"/>
  <c r="BC39" i="15"/>
  <c r="BC50" i="15"/>
  <c r="BC46" i="15"/>
  <c r="BC42" i="15"/>
  <c r="BB64" i="15"/>
  <c r="BB56" i="15"/>
  <c r="BB48" i="15"/>
  <c r="BB40" i="15"/>
  <c r="BE66" i="15"/>
  <c r="BE62" i="15"/>
  <c r="BA56" i="15"/>
  <c r="BA48" i="15"/>
  <c r="BA40" i="15"/>
  <c r="P106" i="15"/>
  <c r="P105" i="15"/>
  <c r="O105" i="15"/>
  <c r="BB63" i="15"/>
  <c r="BB55" i="15"/>
  <c r="BB47" i="15"/>
  <c r="BB39" i="15"/>
  <c r="BC66" i="15"/>
  <c r="BC62" i="15"/>
  <c r="BA63" i="15"/>
  <c r="BA55" i="15"/>
  <c r="BA47" i="15"/>
  <c r="BA39" i="15"/>
  <c r="BD66" i="15"/>
  <c r="BD62" i="15"/>
  <c r="BE58" i="15"/>
  <c r="BE54" i="15"/>
  <c r="BC49" i="15"/>
  <c r="BF58" i="15"/>
  <c r="BF54" i="15"/>
  <c r="BF48" i="15"/>
  <c r="BC43" i="15"/>
  <c r="BF49" i="15"/>
  <c r="BF45" i="15"/>
  <c r="BF41" i="15"/>
  <c r="BB62" i="15"/>
  <c r="BB54" i="15"/>
  <c r="BB46" i="15"/>
  <c r="BD65" i="15"/>
  <c r="BA60" i="15"/>
  <c r="BB61" i="15"/>
  <c r="BB53" i="15"/>
  <c r="BB45" i="15"/>
  <c r="BF65" i="15"/>
  <c r="BC61" i="15"/>
  <c r="BA61" i="15"/>
  <c r="BA53" i="15"/>
  <c r="BA45" i="15"/>
  <c r="BE65" i="15"/>
  <c r="BD61" i="15"/>
  <c r="BD57" i="15"/>
  <c r="BC53" i="15"/>
  <c r="BD48" i="15"/>
  <c r="BF42" i="15"/>
  <c r="BC57" i="15"/>
  <c r="BF52" i="15"/>
  <c r="BC47" i="15"/>
  <c r="BD42" i="15"/>
  <c r="BC52" i="15"/>
  <c r="BC48" i="15"/>
  <c r="BC40" i="15"/>
  <c r="BB60" i="15"/>
  <c r="BB52" i="15"/>
  <c r="BE64" i="15"/>
  <c r="BA62" i="15"/>
  <c r="BF66" i="15"/>
  <c r="BF62" i="15"/>
  <c r="BF59" i="15"/>
  <c r="BF55" i="15"/>
  <c r="BE47" i="15"/>
  <c r="BE59" i="15"/>
  <c r="BE55" i="15"/>
  <c r="BE45" i="15"/>
  <c r="BE52" i="15"/>
  <c r="BE48" i="15"/>
  <c r="BE40" i="15"/>
  <c r="BA66" i="15"/>
  <c r="BA54" i="15"/>
  <c r="BA46" i="15"/>
  <c r="BC65" i="15"/>
  <c r="BE61" i="15"/>
  <c r="BC58" i="15"/>
  <c r="BC54" i="15"/>
  <c r="BE43" i="15"/>
  <c r="BD58" i="15"/>
  <c r="BD54" i="15"/>
  <c r="BE41" i="15"/>
  <c r="BD51" i="15"/>
  <c r="BD47" i="15"/>
  <c r="BD43" i="15"/>
  <c r="BD39" i="15"/>
  <c r="BA52" i="15"/>
  <c r="BF64" i="15"/>
  <c r="BF61" i="15"/>
  <c r="BF57" i="15"/>
  <c r="BF53" i="15"/>
  <c r="BE39" i="15"/>
  <c r="BE57" i="15"/>
  <c r="BE53" i="15"/>
  <c r="BE50" i="15"/>
  <c r="BE46" i="15"/>
  <c r="BE42" i="15"/>
  <c r="BA58" i="15"/>
  <c r="BA50" i="15"/>
  <c r="BA42" i="15"/>
  <c r="BC67" i="15"/>
  <c r="BC63" i="15"/>
  <c r="BC60" i="15"/>
  <c r="BC56" i="15"/>
  <c r="BE51" i="15"/>
  <c r="BD60" i="15"/>
  <c r="BD56" i="15"/>
  <c r="BE49" i="15"/>
  <c r="BD53" i="15"/>
  <c r="BD49" i="15"/>
  <c r="BD45" i="15"/>
  <c r="BD41" i="15"/>
  <c r="B43" i="13" l="1"/>
  <c r="B47" i="13" s="1"/>
  <c r="B48" i="13" s="1"/>
  <c r="B49" i="13" s="1"/>
  <c r="B53" i="13" s="1"/>
  <c r="B54" i="13" s="1"/>
  <c r="B55" i="13" s="1"/>
  <c r="N74" i="15"/>
  <c r="O71" i="15"/>
  <c r="O70" i="15"/>
  <c r="M135" i="15" s="1"/>
  <c r="N69" i="15"/>
  <c r="O69" i="15"/>
  <c r="Q106" i="15"/>
  <c r="I158" i="15"/>
  <c r="N158" i="15" s="1"/>
  <c r="N72" i="15"/>
  <c r="Q105" i="15"/>
  <c r="I154" i="15"/>
  <c r="N154" i="15" s="1"/>
  <c r="N71" i="15"/>
  <c r="O104" i="15"/>
  <c r="I150" i="15"/>
  <c r="O72" i="15"/>
  <c r="P104" i="15"/>
  <c r="Q103" i="15"/>
  <c r="Q104" i="15" l="1"/>
  <c r="N146" i="15"/>
  <c r="N142" i="15"/>
  <c r="BK37" i="15"/>
  <c r="BL37" i="15" s="1"/>
  <c r="P37" i="15" s="1"/>
  <c r="BK44" i="15"/>
  <c r="BK36" i="15"/>
  <c r="BD36" i="15" s="1"/>
  <c r="BK38" i="15"/>
  <c r="BK34" i="15"/>
  <c r="BD34" i="15" s="1"/>
  <c r="BK35" i="15"/>
  <c r="BK32" i="15"/>
  <c r="BE32" i="15" s="1"/>
  <c r="BK33" i="15"/>
  <c r="BK30" i="15"/>
  <c r="BD30" i="15" s="1"/>
  <c r="BK31" i="15"/>
  <c r="BK28" i="15"/>
  <c r="BF28" i="15" s="1"/>
  <c r="BK29" i="15"/>
  <c r="I135" i="15"/>
  <c r="I132" i="15"/>
  <c r="N150" i="15"/>
  <c r="N138" i="15"/>
  <c r="O88" i="15" s="1"/>
  <c r="O89" i="15" l="1"/>
  <c r="BH41" i="15"/>
  <c r="BH49" i="15"/>
  <c r="BH58" i="15"/>
  <c r="BH44" i="15"/>
  <c r="BH32" i="15"/>
  <c r="BH62" i="15"/>
  <c r="BH66" i="15"/>
  <c r="BH55" i="15"/>
  <c r="BH51" i="15"/>
  <c r="BH59" i="15"/>
  <c r="BH53" i="15"/>
  <c r="BH52" i="15"/>
  <c r="BH38" i="15"/>
  <c r="BH36" i="15"/>
  <c r="BH35" i="15"/>
  <c r="BH34" i="15"/>
  <c r="BH29" i="15"/>
  <c r="BH42" i="15"/>
  <c r="BH60" i="15"/>
  <c r="BH47" i="15"/>
  <c r="BH61" i="15"/>
  <c r="BH48" i="15"/>
  <c r="BH40" i="15"/>
  <c r="BH63" i="15"/>
  <c r="BH67" i="15"/>
  <c r="BH57" i="15"/>
  <c r="BH33" i="15"/>
  <c r="BH43" i="15"/>
  <c r="BH56" i="15"/>
  <c r="BH46" i="15"/>
  <c r="BH50" i="15"/>
  <c r="BH31" i="15"/>
  <c r="BH65" i="15"/>
  <c r="BH30" i="15"/>
  <c r="BH54" i="15"/>
  <c r="BH64" i="15"/>
  <c r="BH39" i="15"/>
  <c r="BH37" i="15"/>
  <c r="BH28" i="15"/>
  <c r="BH45" i="15"/>
  <c r="O87" i="15"/>
  <c r="I110" i="15"/>
  <c r="BA37" i="15"/>
  <c r="BL34" i="15"/>
  <c r="P34" i="15" s="1"/>
  <c r="BL30" i="15"/>
  <c r="P30" i="15" s="1"/>
  <c r="BL32" i="15"/>
  <c r="P32" i="15" s="1"/>
  <c r="BL28" i="15"/>
  <c r="P28" i="15" s="1"/>
  <c r="BC37" i="15"/>
  <c r="BE37" i="15"/>
  <c r="BB37" i="15"/>
  <c r="BD37" i="15"/>
  <c r="BF36" i="15"/>
  <c r="BC36" i="15"/>
  <c r="BL36" i="15"/>
  <c r="P36" i="15" s="1"/>
  <c r="BE36" i="15"/>
  <c r="BF37" i="15"/>
  <c r="BB36" i="15"/>
  <c r="BA36" i="15"/>
  <c r="BL44" i="15"/>
  <c r="P44" i="15" s="1"/>
  <c r="BF44" i="15"/>
  <c r="BC44" i="15"/>
  <c r="BB44" i="15"/>
  <c r="BE44" i="15"/>
  <c r="BD44" i="15"/>
  <c r="BA44" i="15"/>
  <c r="BL38" i="15"/>
  <c r="P38" i="15" s="1"/>
  <c r="BD38" i="15"/>
  <c r="BC38" i="15"/>
  <c r="BF38" i="15"/>
  <c r="BB38" i="15"/>
  <c r="BA38" i="15"/>
  <c r="BE38" i="15"/>
  <c r="BA34" i="15"/>
  <c r="BC34" i="15"/>
  <c r="BE34" i="15"/>
  <c r="BF30" i="15"/>
  <c r="BB34" i="15"/>
  <c r="BF34" i="15"/>
  <c r="BB28" i="15"/>
  <c r="BB30" i="15"/>
  <c r="BC32" i="15"/>
  <c r="BC28" i="15"/>
  <c r="BA28" i="15"/>
  <c r="BB32" i="15"/>
  <c r="BA30" i="15"/>
  <c r="BE30" i="15"/>
  <c r="BA32" i="15"/>
  <c r="BD32" i="15"/>
  <c r="BF32" i="15"/>
  <c r="BD28" i="15"/>
  <c r="BE28" i="15"/>
  <c r="BC30" i="15"/>
  <c r="BL35" i="15"/>
  <c r="P35" i="15" s="1"/>
  <c r="BC35" i="15"/>
  <c r="BA35" i="15"/>
  <c r="BB35" i="15"/>
  <c r="BD35" i="15"/>
  <c r="BF35" i="15"/>
  <c r="BE35" i="15"/>
  <c r="BL33" i="15"/>
  <c r="P33" i="15" s="1"/>
  <c r="BA33" i="15"/>
  <c r="BE33" i="15"/>
  <c r="BC33" i="15"/>
  <c r="BB33" i="15"/>
  <c r="BF33" i="15"/>
  <c r="BD33" i="15"/>
  <c r="BL31" i="15"/>
  <c r="P31" i="15" s="1"/>
  <c r="BE31" i="15"/>
  <c r="BF31" i="15"/>
  <c r="BA31" i="15"/>
  <c r="BD31" i="15"/>
  <c r="BB31" i="15"/>
  <c r="BC31" i="15"/>
  <c r="BL29" i="15"/>
  <c r="P29" i="15" s="1"/>
  <c r="BD29" i="15"/>
  <c r="BC29" i="15"/>
  <c r="BA29" i="15"/>
  <c r="BE29" i="15"/>
  <c r="BB29" i="15"/>
  <c r="BF29" i="15"/>
  <c r="I111" i="15"/>
  <c r="B74" i="15" s="1"/>
  <c r="BG33" i="15"/>
  <c r="BG51" i="15"/>
  <c r="BG49" i="15"/>
  <c r="BG60" i="15"/>
  <c r="BG28" i="15"/>
  <c r="BG32" i="15"/>
  <c r="BG40" i="15"/>
  <c r="BG48" i="15"/>
  <c r="BG53" i="15"/>
  <c r="BG31" i="15"/>
  <c r="BG47" i="15"/>
  <c r="BG45" i="15"/>
  <c r="BG58" i="15"/>
  <c r="BG67" i="15"/>
  <c r="BG30" i="15"/>
  <c r="BG38" i="15"/>
  <c r="BG46" i="15"/>
  <c r="BG34" i="15"/>
  <c r="BG59" i="15"/>
  <c r="BG57" i="15"/>
  <c r="BG43" i="15"/>
  <c r="BG41" i="15"/>
  <c r="BG56" i="15"/>
  <c r="BG65" i="15"/>
  <c r="BG29" i="15"/>
  <c r="BG36" i="15"/>
  <c r="BG44" i="15"/>
  <c r="BG52" i="15"/>
  <c r="BG62" i="15"/>
  <c r="BG39" i="15"/>
  <c r="BG37" i="15"/>
  <c r="BG54" i="15"/>
  <c r="BG63" i="15"/>
  <c r="BG61" i="15"/>
  <c r="BG35" i="15"/>
  <c r="BG42" i="15"/>
  <c r="BG50" i="15"/>
  <c r="BG55" i="15"/>
  <c r="BG64" i="15"/>
  <c r="BG66" i="15"/>
  <c r="O90" i="15" l="1"/>
  <c r="J111" i="15"/>
  <c r="BJ87" i="15"/>
  <c r="BJ91" i="15"/>
  <c r="BI87" i="15"/>
  <c r="O74" i="15"/>
  <c r="J110" i="15"/>
  <c r="N2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Bruce Lightfoot</author>
    <author>ndtarczynski</author>
    <author>Sipols, Michael</author>
    <author>Nick</author>
  </authors>
  <commentList>
    <comment ref="BL22" authorId="0" shapeId="0" xr:uid="{00000000-0006-0000-0200-000001000000}">
      <text>
        <r>
          <rPr>
            <b/>
            <sz val="8"/>
            <color indexed="81"/>
            <rFont val="Tahoma"/>
            <family val="2"/>
          </rPr>
          <t>Bruce Lightfoot:</t>
        </r>
        <r>
          <rPr>
            <sz val="8"/>
            <color indexed="81"/>
            <rFont val="Tahoma"/>
            <family val="2"/>
          </rPr>
          <t xml:space="preserve">
This value controls the decimal precision of overall results reporting within 1% of 100% (in this calculator only). 
Use </t>
        </r>
        <r>
          <rPr>
            <b/>
            <sz val="8"/>
            <color indexed="81"/>
            <rFont val="Tahoma"/>
            <family val="2"/>
          </rPr>
          <t>3</t>
        </r>
        <r>
          <rPr>
            <sz val="8"/>
            <color indexed="81"/>
            <rFont val="Tahoma"/>
            <family val="2"/>
          </rPr>
          <t xml:space="preserve"> to show 1 decimal place or </t>
        </r>
        <r>
          <rPr>
            <b/>
            <sz val="8"/>
            <color indexed="81"/>
            <rFont val="Tahoma"/>
            <family val="2"/>
          </rPr>
          <t>2</t>
        </r>
        <r>
          <rPr>
            <sz val="8"/>
            <color indexed="81"/>
            <rFont val="Tahoma"/>
            <family val="2"/>
          </rPr>
          <t xml:space="preserve"> to show no decimal places.</t>
        </r>
      </text>
    </comment>
    <comment ref="AO24" authorId="1" shapeId="0" xr:uid="{00000000-0006-0000-0200-000002000000}">
      <text>
        <r>
          <rPr>
            <b/>
            <sz val="8"/>
            <color indexed="81"/>
            <rFont val="Tahoma"/>
            <family val="2"/>
          </rPr>
          <t>ndtarczynski:</t>
        </r>
        <r>
          <rPr>
            <sz val="8"/>
            <color indexed="81"/>
            <rFont val="Tahoma"/>
            <family val="2"/>
          </rPr>
          <t xml:space="preserve">
The Cell Left Blank For Function is for the purpose of showing the prompt 'Row Skipped (Ok if intentional)' The output will only show True if there is True output highlighted in the rows below for Data entered in Row </t>
        </r>
      </text>
    </comment>
    <comment ref="AP24" authorId="1" shapeId="0" xr:uid="{00000000-0006-0000-0200-000003000000}">
      <text>
        <r>
          <rPr>
            <b/>
            <sz val="8"/>
            <color indexed="81"/>
            <rFont val="Tahoma"/>
            <family val="2"/>
          </rPr>
          <t>ndtarczynski:</t>
        </r>
        <r>
          <rPr>
            <sz val="8"/>
            <color indexed="81"/>
            <rFont val="Tahoma"/>
            <family val="2"/>
          </rPr>
          <t xml:space="preserve">
This column indicates if the entire row is left blank.
</t>
        </r>
      </text>
    </comment>
    <comment ref="AQ24" authorId="1" shapeId="0" xr:uid="{00000000-0006-0000-0200-000004000000}">
      <text>
        <r>
          <rPr>
            <b/>
            <sz val="8"/>
            <color indexed="81"/>
            <rFont val="Tahoma"/>
            <family val="2"/>
          </rPr>
          <t>ndtarczynski:</t>
        </r>
        <r>
          <rPr>
            <sz val="8"/>
            <color indexed="81"/>
            <rFont val="Tahoma"/>
            <family val="2"/>
          </rPr>
          <t xml:space="preserve">
-Entry inputs OK
-Adjustment factor 2 not used for a Class 1
-Adjustment Factor 1 (Fixed dimming, Lumen depreciation) OK
-Adjustment Factor 2 (Fixed dimming, Lumen depreciation) OK</t>
        </r>
      </text>
    </comment>
    <comment ref="BN24" authorId="0" shapeId="0" xr:uid="{00000000-0006-0000-0200-000005000000}">
      <text>
        <r>
          <rPr>
            <b/>
            <sz val="8"/>
            <color indexed="81"/>
            <rFont val="Tahoma"/>
            <family val="2"/>
          </rPr>
          <t>Bruce Lightfoot:</t>
        </r>
        <r>
          <rPr>
            <sz val="8"/>
            <color indexed="81"/>
            <rFont val="Tahoma"/>
            <family val="2"/>
          </rPr>
          <t xml:space="preserve">
Checks whether Location shown is valid for the nominated Classification. #N/A indicates that it is not and will trigger conditional formatting in the Location cell.</t>
        </r>
      </text>
    </comment>
    <comment ref="DB26" authorId="0" shapeId="0" xr:uid="{00000000-0006-0000-0200-00000600000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C26" authorId="0" shapeId="0" xr:uid="{00000000-0006-0000-0200-00000700000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E26" authorId="0" shapeId="0" xr:uid="{00000000-0006-0000-0200-00000800000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DF26" authorId="0" shapeId="0" xr:uid="{00000000-0006-0000-0200-00000900000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DC27" authorId="2" shapeId="0" xr:uid="{00000000-0006-0000-0200-00000A000000}">
      <text>
        <r>
          <rPr>
            <b/>
            <sz val="9"/>
            <color indexed="81"/>
            <rFont val="Tahoma"/>
            <family val="2"/>
          </rPr>
          <t>Sipols, Michael:</t>
        </r>
        <r>
          <rPr>
            <sz val="9"/>
            <color indexed="81"/>
            <rFont val="Tahoma"/>
            <family val="2"/>
          </rPr>
          <t xml:space="preserve">
This column reworked to check that if the illumance factor is input, that fixed diming is also selected</t>
        </r>
      </text>
    </comment>
    <comment ref="DD27" authorId="2" shapeId="0" xr:uid="{00000000-0006-0000-0200-00000B000000}">
      <text>
        <r>
          <rPr>
            <b/>
            <sz val="9"/>
            <color indexed="81"/>
            <rFont val="Tahoma"/>
            <family val="2"/>
          </rPr>
          <t>Sipols, Michael:</t>
        </r>
        <r>
          <rPr>
            <sz val="9"/>
            <color indexed="81"/>
            <rFont val="Tahoma"/>
            <family val="2"/>
          </rPr>
          <t xml:space="preserve">
This checked to see if the lumen depreciation factor was included, whoich is no longer necessary. Reworked to check if fixed dimming is selected without an illumancne factor</t>
        </r>
      </text>
    </comment>
    <comment ref="DE27" authorId="2" shapeId="0" xr:uid="{00000000-0006-0000-0200-00000C000000}">
      <text>
        <r>
          <rPr>
            <b/>
            <sz val="9"/>
            <color indexed="81"/>
            <rFont val="Tahoma"/>
            <family val="2"/>
          </rPr>
          <t>Sipols, Michael:</t>
        </r>
        <r>
          <rPr>
            <sz val="9"/>
            <color indexed="81"/>
            <rFont val="Tahoma"/>
            <family val="2"/>
          </rPr>
          <t xml:space="preserve">
Used to check if when lumen depreciation factor is selected, that no other dimming information is entered.
Reworked to check that the factor isn't NA for this class</t>
        </r>
      </text>
    </comment>
    <comment ref="DF27" authorId="2" shapeId="0" xr:uid="{00000000-0006-0000-0200-00000D000000}">
      <text>
        <r>
          <rPr>
            <b/>
            <sz val="9"/>
            <color indexed="81"/>
            <rFont val="Tahoma"/>
            <family val="2"/>
          </rPr>
          <t>Sipols, Michael:</t>
        </r>
        <r>
          <rPr>
            <sz val="9"/>
            <color indexed="81"/>
            <rFont val="Tahoma"/>
            <family val="2"/>
          </rPr>
          <t xml:space="preserve">
Used to check that if diming via area is used, that depreciation factor for variable isn't also used. No longer necessary.
Reworked to check if Design LDF is input when Additional Lumen Depreciation Factor is selected
</t>
        </r>
      </text>
    </comment>
    <comment ref="DG27" authorId="2" shapeId="0" xr:uid="{00000000-0006-0000-0200-00000E000000}">
      <text>
        <r>
          <rPr>
            <b/>
            <sz val="9"/>
            <color indexed="81"/>
            <rFont val="Tahoma"/>
            <family val="2"/>
          </rPr>
          <t>Sipols, Michael:</t>
        </r>
        <r>
          <rPr>
            <sz val="9"/>
            <color indexed="81"/>
            <rFont val="Tahoma"/>
            <family val="2"/>
          </rPr>
          <t xml:space="preserve">
Checks if a design lumen depreciation factor has been ntered without selecting the correct adjustment factor</t>
        </r>
      </text>
    </comment>
    <comment ref="DH27" authorId="2" shapeId="0" xr:uid="{00000000-0006-0000-0200-00000F000000}">
      <text>
        <r>
          <rPr>
            <b/>
            <sz val="9"/>
            <color indexed="81"/>
            <rFont val="Tahoma"/>
            <family val="2"/>
          </rPr>
          <t>Sipols, Michael:</t>
        </r>
        <r>
          <rPr>
            <sz val="9"/>
            <color indexed="81"/>
            <rFont val="Tahoma"/>
            <family val="2"/>
          </rPr>
          <t xml:space="preserve">
Checks whether a % of full power has been entered without the appropriate adjustment factor being selected</t>
        </r>
      </text>
    </comment>
    <comment ref="DI27" authorId="2" shapeId="0" xr:uid="{00000000-0006-0000-0200-000010000000}">
      <text>
        <r>
          <rPr>
            <b/>
            <sz val="9"/>
            <color indexed="81"/>
            <rFont val="Tahoma"/>
            <family val="2"/>
          </rPr>
          <t>Sipols, Michael:</t>
        </r>
        <r>
          <rPr>
            <sz val="9"/>
            <color indexed="81"/>
            <rFont val="Tahoma"/>
            <family val="2"/>
          </rPr>
          <t xml:space="preserve">
Checks whether the adjustment factor selected is valid (primarily for change over between Vol 1 and Vol 2 adjustment factors)</t>
        </r>
      </text>
    </comment>
    <comment ref="AZ28" authorId="2" shapeId="0" xr:uid="{00000000-0006-0000-0200-000011000000}">
      <text>
        <r>
          <rPr>
            <b/>
            <sz val="9"/>
            <color indexed="81"/>
            <rFont val="Tahoma"/>
            <family val="2"/>
          </rPr>
          <t>Sipols, Michael:</t>
        </r>
        <r>
          <rPr>
            <sz val="9"/>
            <color indexed="81"/>
            <rFont val="Tahoma"/>
            <family val="2"/>
          </rPr>
          <t xml:space="preserve">
Only used for multi adjustment factor case in V1</t>
        </r>
      </text>
    </comment>
    <comment ref="CZ28" authorId="0" shapeId="0" xr:uid="{00000000-0006-0000-0200-000012000000}">
      <text>
        <r>
          <rPr>
            <b/>
            <sz val="8"/>
            <color indexed="81"/>
            <rFont val="Tahoma"/>
            <family val="2"/>
          </rPr>
          <t>Bruce Lightfoot:</t>
        </r>
        <r>
          <rPr>
            <sz val="8"/>
            <color indexed="81"/>
            <rFont val="Tahoma"/>
            <family val="2"/>
          </rPr>
          <t xml:space="preserve">
Based on modified version used for Volume One calculator with Names adjusted to suit Volume Two.  Ditto for all columns in this group.</t>
        </r>
      </text>
    </comment>
    <comment ref="BN70" authorId="0" shapeId="0" xr:uid="{00000000-0006-0000-0200-000013000000}">
      <text>
        <r>
          <rPr>
            <b/>
            <sz val="8"/>
            <color indexed="81"/>
            <rFont val="Tahoma"/>
            <family val="2"/>
          </rPr>
          <t>Bruce Lightfoot:</t>
        </r>
        <r>
          <rPr>
            <sz val="8"/>
            <color indexed="81"/>
            <rFont val="Tahoma"/>
            <family val="2"/>
          </rPr>
          <t xml:space="preserve">
Sum function used to expose any #NA vlaues. Message below (when not "OK") is a trigger for GeneralAdviceTwo formula to display note on calculator form.</t>
        </r>
      </text>
    </comment>
    <comment ref="BL75" authorId="2" shapeId="0" xr:uid="{00000000-0006-0000-0200-000014000000}">
      <text>
        <r>
          <rPr>
            <b/>
            <sz val="9"/>
            <color indexed="81"/>
            <rFont val="Tahoma"/>
            <family val="2"/>
          </rPr>
          <t>Sipols, Michael:</t>
        </r>
        <r>
          <rPr>
            <sz val="9"/>
            <color indexed="81"/>
            <rFont val="Tahoma"/>
            <family val="2"/>
          </rPr>
          <t xml:space="preserve">
Orphan</t>
        </r>
      </text>
    </comment>
    <comment ref="J85" authorId="0" shapeId="0" xr:uid="{00000000-0006-0000-0200-000015000000}">
      <text>
        <r>
          <rPr>
            <b/>
            <sz val="8"/>
            <color indexed="81"/>
            <rFont val="Tahoma"/>
            <family val="2"/>
          </rPr>
          <t>Bruce Lightfoot:</t>
        </r>
        <r>
          <rPr>
            <sz val="8"/>
            <color indexed="81"/>
            <rFont val="Tahoma"/>
            <family val="2"/>
          </rPr>
          <t xml:space="preserve">
This cell has no dependents and does not influence conditional formatting.</t>
        </r>
      </text>
    </comment>
    <comment ref="J86" authorId="0" shapeId="0" xr:uid="{00000000-0006-0000-0200-000016000000}">
      <text>
        <r>
          <rPr>
            <b/>
            <sz val="8"/>
            <color indexed="81"/>
            <rFont val="Tahoma"/>
            <family val="2"/>
          </rPr>
          <t>Bruce Lightfoot:</t>
        </r>
        <r>
          <rPr>
            <sz val="8"/>
            <color indexed="81"/>
            <rFont val="Tahoma"/>
            <family val="2"/>
          </rPr>
          <t xml:space="preserve">
Unique formula in this first row. DO NOT COPY DOWN.</t>
        </r>
      </text>
    </comment>
    <comment ref="G97" authorId="0" shapeId="0" xr:uid="{00000000-0006-0000-0200-000017000000}">
      <text>
        <r>
          <rPr>
            <b/>
            <sz val="8"/>
            <color indexed="81"/>
            <rFont val="Tahoma"/>
            <family val="2"/>
          </rPr>
          <t>Bruce Lightfoot:</t>
        </r>
        <r>
          <rPr>
            <sz val="8"/>
            <color indexed="81"/>
            <rFont val="Tahoma"/>
            <family val="2"/>
          </rPr>
          <t xml:space="preserve">
This heading and the descriptors below moved left one column to allow narrowing of column H to overcome word wrap problems in heading rows of the calculator form.</t>
        </r>
      </text>
    </comment>
    <comment ref="O97" authorId="0" shapeId="0" xr:uid="{00000000-0006-0000-0200-000018000000}">
      <text>
        <r>
          <rPr>
            <b/>
            <sz val="8"/>
            <color indexed="81"/>
            <rFont val="Tahoma"/>
            <family val="2"/>
          </rPr>
          <t>Bruce Lightfoot:</t>
        </r>
        <r>
          <rPr>
            <sz val="8"/>
            <color indexed="81"/>
            <rFont val="Tahoma"/>
            <family val="2"/>
          </rPr>
          <t xml:space="preserve">
Heading changed from "Formular" to "Formulas".</t>
        </r>
      </text>
    </comment>
    <comment ref="G99" authorId="3" shapeId="0" xr:uid="{00000000-0006-0000-0200-000019000000}">
      <text>
        <r>
          <rPr>
            <b/>
            <sz val="9"/>
            <color indexed="81"/>
            <rFont val="Tahoma"/>
            <family val="2"/>
          </rPr>
          <t>Nick:</t>
        </r>
        <r>
          <rPr>
            <sz val="9"/>
            <color indexed="81"/>
            <rFont val="Tahoma"/>
            <family val="2"/>
          </rPr>
          <t xml:space="preserve">
Cell previously was used for the 'Enter Storey' input which has now been removed. Therefore the cell have deliberatly been left blank.</t>
        </r>
      </text>
    </comment>
    <comment ref="J103" authorId="1" shapeId="0" xr:uid="{00000000-0006-0000-0200-00001A000000}">
      <text>
        <r>
          <rPr>
            <b/>
            <sz val="8"/>
            <color indexed="81"/>
            <rFont val="Tahoma"/>
            <family val="2"/>
          </rPr>
          <t>ndtarczynski:</t>
        </r>
        <r>
          <rPr>
            <sz val="8"/>
            <color indexed="81"/>
            <rFont val="Tahoma"/>
            <family val="2"/>
          </rPr>
          <t xml:space="preserve">
Title 
firstinputsres</t>
        </r>
      </text>
    </comment>
    <comment ref="O103" authorId="0" shapeId="0" xr:uid="{00000000-0006-0000-0200-00001B000000}">
      <text>
        <r>
          <rPr>
            <b/>
            <sz val="9"/>
            <color indexed="81"/>
            <rFont val="Tahoma"/>
            <family val="2"/>
          </rPr>
          <t>Bruce Lightfoot:</t>
        </r>
        <r>
          <rPr>
            <sz val="9"/>
            <color indexed="81"/>
            <rFont val="Tahoma"/>
            <family val="2"/>
          </rPr>
          <t xml:space="preserve">
Rounding controlled by user variable value in PrecisionTwo.</t>
        </r>
      </text>
    </comment>
    <comment ref="P103" authorId="0" shapeId="0" xr:uid="{00000000-0006-0000-0200-00001C000000}">
      <text>
        <r>
          <rPr>
            <b/>
            <sz val="9"/>
            <color indexed="81"/>
            <rFont val="Tahoma"/>
            <family val="2"/>
          </rPr>
          <t>Bruce Lightfoot:</t>
        </r>
        <r>
          <rPr>
            <sz val="9"/>
            <color indexed="81"/>
            <rFont val="Tahoma"/>
            <family val="2"/>
          </rPr>
          <t xml:space="preserve">
Rounding controlled by user variable value in PrecisionTwo.</t>
        </r>
      </text>
    </comment>
    <comment ref="O104" authorId="0" shapeId="0" xr:uid="{00000000-0006-0000-0200-00001D000000}">
      <text>
        <r>
          <rPr>
            <b/>
            <sz val="9"/>
            <color indexed="81"/>
            <rFont val="Tahoma"/>
            <family val="2"/>
          </rPr>
          <t>Bruce Lightfoot:</t>
        </r>
        <r>
          <rPr>
            <sz val="9"/>
            <color indexed="81"/>
            <rFont val="Tahoma"/>
            <family val="2"/>
          </rPr>
          <t xml:space="preserve">
This cell inherits the rounding applied in referenced cell.</t>
        </r>
      </text>
    </comment>
    <comment ref="P104" authorId="0" shapeId="0" xr:uid="{00000000-0006-0000-0200-00001E000000}">
      <text>
        <r>
          <rPr>
            <b/>
            <sz val="9"/>
            <color indexed="81"/>
            <rFont val="Tahoma"/>
            <family val="2"/>
          </rPr>
          <t>Bruce Lightfoot:</t>
        </r>
        <r>
          <rPr>
            <sz val="9"/>
            <color indexed="81"/>
            <rFont val="Tahoma"/>
            <family val="2"/>
          </rPr>
          <t xml:space="preserve">
This cell inherits the rounding applied in referenced cell.</t>
        </r>
      </text>
    </comment>
    <comment ref="O105" authorId="0" shapeId="0" xr:uid="{00000000-0006-0000-0200-00001F000000}">
      <text>
        <r>
          <rPr>
            <b/>
            <sz val="9"/>
            <color indexed="81"/>
            <rFont val="Tahoma"/>
            <family val="2"/>
          </rPr>
          <t>Bruce Lightfoot:</t>
        </r>
        <r>
          <rPr>
            <sz val="9"/>
            <color indexed="81"/>
            <rFont val="Tahoma"/>
            <family val="2"/>
          </rPr>
          <t xml:space="preserve">
Rounding controlled by user variable value in PrecisionTwo.</t>
        </r>
      </text>
    </comment>
    <comment ref="P105" authorId="0" shapeId="0" xr:uid="{00000000-0006-0000-0200-000020000000}">
      <text>
        <r>
          <rPr>
            <b/>
            <sz val="9"/>
            <color indexed="81"/>
            <rFont val="Tahoma"/>
            <family val="2"/>
          </rPr>
          <t>Bruce Lightfoot:</t>
        </r>
        <r>
          <rPr>
            <sz val="9"/>
            <color indexed="81"/>
            <rFont val="Tahoma"/>
            <family val="2"/>
          </rPr>
          <t xml:space="preserve">
Rounding controlled by user variable value in PrecisionTwo.</t>
        </r>
      </text>
    </comment>
    <comment ref="O106" authorId="0" shapeId="0" xr:uid="{00000000-0006-0000-0200-000021000000}">
      <text>
        <r>
          <rPr>
            <b/>
            <sz val="9"/>
            <color indexed="81"/>
            <rFont val="Tahoma"/>
            <family val="2"/>
          </rPr>
          <t>Bruce Lightfoot:</t>
        </r>
        <r>
          <rPr>
            <sz val="9"/>
            <color indexed="81"/>
            <rFont val="Tahoma"/>
            <family val="2"/>
          </rPr>
          <t xml:space="preserve">
Rounding controlled by user variable value in PrecisionTwo.</t>
        </r>
      </text>
    </comment>
    <comment ref="P106" authorId="0" shapeId="0" xr:uid="{00000000-0006-0000-0200-000022000000}">
      <text>
        <r>
          <rPr>
            <b/>
            <sz val="9"/>
            <color indexed="81"/>
            <rFont val="Tahoma"/>
            <family val="2"/>
          </rPr>
          <t>Bruce Lightfoot:</t>
        </r>
        <r>
          <rPr>
            <sz val="9"/>
            <color indexed="81"/>
            <rFont val="Tahoma"/>
            <family val="2"/>
          </rPr>
          <t xml:space="preserve">
Rounding controlled by user variable value in PrecisionTwo.</t>
        </r>
      </text>
    </comment>
    <comment ref="N113" authorId="0" shapeId="0" xr:uid="{00000000-0006-0000-0200-000023000000}">
      <text>
        <r>
          <rPr>
            <b/>
            <sz val="8"/>
            <color indexed="81"/>
            <rFont val="Tahoma"/>
            <family val="2"/>
          </rPr>
          <t>Bruce Lightfoot:</t>
        </r>
        <r>
          <rPr>
            <sz val="8"/>
            <color indexed="81"/>
            <rFont val="Tahoma"/>
            <family val="2"/>
          </rPr>
          <t xml:space="preserve">
This value controls the decimal precision of Pass/Fail comparisons (in this calculator only). 
The number refers directly to the number of decimal places employed.</t>
        </r>
      </text>
    </comment>
    <comment ref="I138" authorId="0" shapeId="0" xr:uid="{00000000-0006-0000-0200-000024000000}">
      <text>
        <r>
          <rPr>
            <b/>
            <sz val="9"/>
            <color indexed="81"/>
            <rFont val="Tahoma"/>
            <family val="2"/>
          </rPr>
          <t>Bruce Lightfoot:</t>
        </r>
        <r>
          <rPr>
            <sz val="9"/>
            <color indexed="81"/>
            <rFont val="Tahoma"/>
            <family val="2"/>
          </rPr>
          <t xml:space="preserve">
Rounded to 2 decimal points but displayed to 3 to demonstrate rounding.</t>
        </r>
      </text>
    </comment>
    <comment ref="I142" authorId="0" shapeId="0" xr:uid="{00000000-0006-0000-0200-000025000000}">
      <text>
        <r>
          <rPr>
            <b/>
            <sz val="9"/>
            <color indexed="81"/>
            <rFont val="Tahoma"/>
            <family val="2"/>
          </rPr>
          <t>Bruce Lightfoot:</t>
        </r>
        <r>
          <rPr>
            <sz val="9"/>
            <color indexed="81"/>
            <rFont val="Tahoma"/>
            <family val="2"/>
          </rPr>
          <t xml:space="preserve">
Rounded to 2 decimal points but displayed to 3 to demonstrate rounding.</t>
        </r>
      </text>
    </comment>
    <comment ref="I146" authorId="0" shapeId="0" xr:uid="{00000000-0006-0000-0200-000026000000}">
      <text>
        <r>
          <rPr>
            <b/>
            <sz val="9"/>
            <color indexed="81"/>
            <rFont val="Tahoma"/>
            <family val="2"/>
          </rPr>
          <t>Bruce Lightfoot:</t>
        </r>
        <r>
          <rPr>
            <sz val="9"/>
            <color indexed="81"/>
            <rFont val="Tahoma"/>
            <family val="2"/>
          </rPr>
          <t xml:space="preserve">
Rounded to 2 decimal points but displayed to 3 to demonstrate rounding.</t>
        </r>
      </text>
    </comment>
    <comment ref="I150" authorId="0" shapeId="0" xr:uid="{00000000-0006-0000-0200-000027000000}">
      <text>
        <r>
          <rPr>
            <b/>
            <sz val="9"/>
            <color indexed="81"/>
            <rFont val="Tahoma"/>
            <family val="2"/>
          </rPr>
          <t>Bruce Lightfoot:</t>
        </r>
        <r>
          <rPr>
            <sz val="9"/>
            <color indexed="81"/>
            <rFont val="Tahoma"/>
            <family val="2"/>
          </rPr>
          <t xml:space="preserve">
Inherits rounding applied to source cell result.</t>
        </r>
      </text>
    </comment>
    <comment ref="I154" authorId="0" shapeId="0" xr:uid="{00000000-0006-0000-0200-000028000000}">
      <text>
        <r>
          <rPr>
            <b/>
            <sz val="9"/>
            <color indexed="81"/>
            <rFont val="Tahoma"/>
            <family val="2"/>
          </rPr>
          <t>Bruce Lightfoot:</t>
        </r>
        <r>
          <rPr>
            <sz val="9"/>
            <color indexed="81"/>
            <rFont val="Tahoma"/>
            <family val="2"/>
          </rPr>
          <t xml:space="preserve">
Inherits rounding applied to source cell result.</t>
        </r>
      </text>
    </comment>
    <comment ref="I158" authorId="0" shapeId="0" xr:uid="{00000000-0006-0000-0200-000029000000}">
      <text>
        <r>
          <rPr>
            <b/>
            <sz val="9"/>
            <color indexed="81"/>
            <rFont val="Tahoma"/>
            <family val="2"/>
          </rPr>
          <t>Bruce Lightfoot:</t>
        </r>
        <r>
          <rPr>
            <sz val="9"/>
            <color indexed="81"/>
            <rFont val="Tahoma"/>
            <family val="2"/>
          </rPr>
          <t xml:space="preserve">
Inherits rounding applied to source cell result.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Sipols, Michael</author>
    <author>Bruce Lightfoot</author>
  </authors>
  <commentList>
    <comment ref="P4" authorId="0" shapeId="0" xr:uid="{00000000-0006-0000-0300-000001000000}">
      <text>
        <r>
          <rPr>
            <b/>
            <sz val="9"/>
            <color indexed="81"/>
            <rFont val="Tahoma"/>
            <family val="2"/>
          </rPr>
          <t>Sipols, Michael:</t>
        </r>
        <r>
          <rPr>
            <sz val="9"/>
            <color indexed="81"/>
            <rFont val="Tahoma"/>
            <family val="2"/>
          </rPr>
          <t xml:space="preserve">
Siuzes cut by one to suit number of scenarios, and Part set to same as All, since we no longer need to distinction</t>
        </r>
      </text>
    </comment>
    <comment ref="W9" authorId="0" shapeId="0" xr:uid="{00000000-0006-0000-0300-000002000000}">
      <text>
        <r>
          <rPr>
            <b/>
            <sz val="9"/>
            <color indexed="81"/>
            <rFont val="Tahoma"/>
            <family val="2"/>
          </rPr>
          <t>Sipols, Michael:</t>
        </r>
        <r>
          <rPr>
            <sz val="9"/>
            <color indexed="81"/>
            <rFont val="Tahoma"/>
            <family val="2"/>
          </rPr>
          <t xml:space="preserve">
This checks whether the residential building is class 1 or 10a, in order to populate the options lists appropriately for the differences between Volume One and Two adjustment factors</t>
        </r>
      </text>
    </comment>
    <comment ref="T11" authorId="1" shapeId="0" xr:uid="{00000000-0006-0000-0300-000003000000}">
      <text>
        <r>
          <rPr>
            <b/>
            <sz val="8"/>
            <color indexed="81"/>
            <rFont val="Tahoma"/>
            <family val="2"/>
          </rPr>
          <t>Bruce Lightfoot:</t>
        </r>
        <r>
          <rPr>
            <sz val="8"/>
            <color indexed="81"/>
            <rFont val="Tahoma"/>
            <family val="2"/>
          </rPr>
          <t xml:space="preserve">
These logical values present in original ranges on each calculator sheet replaced by this shared version.</t>
        </r>
      </text>
    </comment>
    <comment ref="AE11" authorId="1" shapeId="0" xr:uid="{00000000-0006-0000-0300-000004000000}">
      <text>
        <r>
          <rPr>
            <b/>
            <sz val="8"/>
            <color indexed="81"/>
            <rFont val="Tahoma"/>
            <family val="2"/>
          </rPr>
          <t>Bruce Lightfoot:</t>
        </r>
        <r>
          <rPr>
            <sz val="8"/>
            <color indexed="81"/>
            <rFont val="Tahoma"/>
            <family val="2"/>
          </rPr>
          <t xml:space="preserve">
These logical values present in original ranges on each calculator sheet replaced by this shared version.</t>
        </r>
      </text>
    </comment>
    <comment ref="R24" authorId="1" shapeId="0" xr:uid="{00000000-0006-0000-0300-000005000000}">
      <text>
        <r>
          <rPr>
            <b/>
            <sz val="8"/>
            <color indexed="81"/>
            <rFont val="Tahoma"/>
            <family val="2"/>
          </rPr>
          <t>Bruce Lightfoot:</t>
        </r>
        <r>
          <rPr>
            <sz val="8"/>
            <color indexed="81"/>
            <rFont val="Tahoma"/>
            <family val="2"/>
          </rPr>
          <t xml:space="preserve">
This zero value appears in the original lists. It is probably used as part of the lookup functions which refer to the blue filled Named Range.
</t>
        </r>
        <r>
          <rPr>
            <b/>
            <sz val="8"/>
            <color indexed="81"/>
            <rFont val="Tahoma"/>
            <family val="2"/>
          </rPr>
          <t>Michael Sipols:</t>
        </r>
        <r>
          <rPr>
            <sz val="8"/>
            <color indexed="81"/>
            <rFont val="Tahoma"/>
            <family val="2"/>
          </rPr>
          <t xml:space="preserve">
The zero will be used in vlookups as the result when no selection is made. In Excel parlance, 0=""</t>
        </r>
      </text>
    </comment>
    <comment ref="AC24" authorId="1" shapeId="0" xr:uid="{00000000-0006-0000-0300-000006000000}">
      <text>
        <r>
          <rPr>
            <b/>
            <sz val="8"/>
            <color indexed="81"/>
            <rFont val="Tahoma"/>
            <family val="2"/>
          </rPr>
          <t>Bruce Lightfoot:</t>
        </r>
        <r>
          <rPr>
            <sz val="8"/>
            <color indexed="81"/>
            <rFont val="Tahoma"/>
            <family val="2"/>
          </rPr>
          <t xml:space="preserve">
This zero value appears in the original lists. It is probably used as part of the lookup functions which refer to the blue filled Named Range.</t>
        </r>
      </text>
    </comment>
  </commentList>
</comments>
</file>

<file path=xl/sharedStrings.xml><?xml version="1.0" encoding="utf-8"?>
<sst xmlns="http://schemas.openxmlformats.org/spreadsheetml/2006/main" count="554" uniqueCount="411">
  <si>
    <t>Location</t>
  </si>
  <si>
    <t>Adjustment Factor 1</t>
  </si>
  <si>
    <t>Space</t>
  </si>
  <si>
    <t>Item</t>
  </si>
  <si>
    <t>Description</t>
  </si>
  <si>
    <t>Illumination power density adjustment factor</t>
  </si>
  <si>
    <t>Total</t>
  </si>
  <si>
    <t>DLPL</t>
  </si>
  <si>
    <t>MLPL</t>
  </si>
  <si>
    <t>Check</t>
  </si>
  <si>
    <t>Outcome label</t>
  </si>
  <si>
    <t>Row</t>
  </si>
  <si>
    <t>Show</t>
  </si>
  <si>
    <t>Number of rows preferred in table below</t>
  </si>
  <si>
    <t>ID</t>
  </si>
  <si>
    <t>Rows Shown</t>
  </si>
  <si>
    <t>Aggregate Outcomes</t>
  </si>
  <si>
    <t>Rows Preferred</t>
  </si>
  <si>
    <t>(c) Motion detector</t>
  </si>
  <si>
    <t>Percentage of Allowance</t>
  </si>
  <si>
    <t>(d) Motion detector</t>
  </si>
  <si>
    <t>Lighting System Share</t>
  </si>
  <si>
    <t>Lighting System Share of % of Allowance Used</t>
  </si>
  <si>
    <t>Adjustment Factor Used</t>
  </si>
  <si>
    <t>Lowest Adjustment Factor</t>
  </si>
  <si>
    <t>(a)</t>
  </si>
  <si>
    <t>(b)</t>
  </si>
  <si>
    <t>(g)</t>
  </si>
  <si>
    <t>(h)</t>
  </si>
  <si>
    <t>(f)</t>
  </si>
  <si>
    <t>(a) Lighting timer</t>
  </si>
  <si>
    <t>(c)</t>
  </si>
  <si>
    <t>(i) Dynamic dimming system</t>
  </si>
  <si>
    <t>Adjustment Factor One</t>
  </si>
  <si>
    <t>Adjusted MLPD 1 Including Room Aspect</t>
  </si>
  <si>
    <t>Class 1</t>
  </si>
  <si>
    <t>Class 3</t>
  </si>
  <si>
    <t>Classifications</t>
  </si>
  <si>
    <t>Class 5</t>
  </si>
  <si>
    <t>Class 6</t>
  </si>
  <si>
    <t>Class 8</t>
  </si>
  <si>
    <t>Class 9a</t>
  </si>
  <si>
    <t>Class 9b</t>
  </si>
  <si>
    <t>Class 9c</t>
  </si>
  <si>
    <t>Lamp Power Density / Illumination Power Density</t>
  </si>
  <si>
    <t>Allowance</t>
  </si>
  <si>
    <t>Design</t>
  </si>
  <si>
    <t>Advice</t>
  </si>
  <si>
    <t>Floor area of the space</t>
  </si>
  <si>
    <t>Operating system:</t>
  </si>
  <si>
    <t>The Calculator has been designed to identify anticipated input errors but may not trap all invalid inputs.</t>
  </si>
  <si>
    <t>Calculator outcomes cannot be displayed until all input issues have been resolved (clearing any colour highlighting and advisory messages). Several messages may appear in sequence for the same row as issues are resolved.</t>
  </si>
  <si>
    <t>The Calculator form can be printed using the File | Print menu or the Print button on the top icon bar.</t>
  </si>
  <si>
    <t>Version history:</t>
  </si>
  <si>
    <t>•</t>
  </si>
  <si>
    <t>1.00:</t>
  </si>
  <si>
    <t>First public issue.</t>
  </si>
  <si>
    <t>Tips for using the Lighting Calculator:</t>
  </si>
  <si>
    <t>Test Area</t>
  </si>
  <si>
    <t>Entry Inputs Ok</t>
  </si>
  <si>
    <t>All inputs ok</t>
  </si>
  <si>
    <t>A record of changes made to each version of the Lighting Calculator appears at the end of this Help section. (Scroll down to see the version history.)</t>
  </si>
  <si>
    <t>Building zone and inputs</t>
  </si>
  <si>
    <t>Output</t>
  </si>
  <si>
    <t>Lamp Power Density / Illumination Power Density Design</t>
  </si>
  <si>
    <t>Adding and changing lighting details:</t>
  </si>
  <si>
    <t>Using the Calculator</t>
  </si>
  <si>
    <t>Programmable dimming system (Note 2)</t>
  </si>
  <si>
    <t>1.</t>
  </si>
  <si>
    <t>2.</t>
  </si>
  <si>
    <t>3.</t>
  </si>
  <si>
    <t>4.</t>
  </si>
  <si>
    <t>Entry Inputs and Adjustment Input Ok</t>
  </si>
  <si>
    <t>Acknowledgements</t>
  </si>
  <si>
    <t>Users' worksheet:</t>
  </si>
  <si>
    <t>To maintain the integrity of the Calculator, this sheet is protected causing some unavoidable restrictions on the functions available.</t>
  </si>
  <si>
    <t>All cells below row 8 are accessible for user input, editing and formatting, subject to the limitations due to protection.</t>
  </si>
  <si>
    <t>Use of this worksheet is optional and responsibility for its contents and consequences remains entirely with the user.</t>
  </si>
  <si>
    <t>This worksheet has been added for recording notes and making calculations (where desired).</t>
  </si>
  <si>
    <t>Application</t>
  </si>
  <si>
    <t>Conditional Formatting</t>
  </si>
  <si>
    <t>Type of space</t>
  </si>
  <si>
    <t>Living room</t>
  </si>
  <si>
    <t>Bathroom</t>
  </si>
  <si>
    <t>Corridor</t>
  </si>
  <si>
    <t>Other</t>
  </si>
  <si>
    <t>Show General Advisory Note</t>
  </si>
  <si>
    <t>Average</t>
  </si>
  <si>
    <t>Floor Area / Total Watts of design</t>
  </si>
  <si>
    <t>Percentage</t>
  </si>
  <si>
    <t>Design Watts/Average Watt Allowance</t>
  </si>
  <si>
    <t>Verandah or balcony</t>
  </si>
  <si>
    <t>Verandah or balcony used</t>
  </si>
  <si>
    <t>One or more inputs True</t>
  </si>
  <si>
    <t>Data entered in Row</t>
  </si>
  <si>
    <t>Row Left Blank Realistic</t>
  </si>
  <si>
    <t>Row Left Blank For Function</t>
  </si>
  <si>
    <t>Calculated Outcomes Conditional Formatting</t>
  </si>
  <si>
    <t>Overall design pass</t>
  </si>
  <si>
    <t>All inputs valid</t>
  </si>
  <si>
    <t>Overall design fail</t>
  </si>
  <si>
    <t>All Valid</t>
  </si>
  <si>
    <t>All Invalid</t>
  </si>
  <si>
    <t>One Value Invalid</t>
  </si>
  <si>
    <t>(f) Manual dimming system</t>
  </si>
  <si>
    <t>Aggregate Design Illumination power load (ADIPL) Load (Class 1, 2 and 4)</t>
  </si>
  <si>
    <t>Aggregate Design Illumination power load (ADIPL) Load (Verandah)</t>
  </si>
  <si>
    <t>Aggregate Design Illumination power load (ADIPL) Load (Class 10)</t>
  </si>
  <si>
    <t>Aggregate Maximum Illumination power density load (AMIPDL) Allowance (Class 1, 2 and 4)</t>
  </si>
  <si>
    <t>Aggregate Maximum Illumination power density load (AMIPDL) Allowance (Verandah)</t>
  </si>
  <si>
    <t>Aggregate Maximum Illumination power density load (AMIPDL) Allowance (Class 10)</t>
  </si>
  <si>
    <t>Class 1, 2 or 4 values</t>
  </si>
  <si>
    <t>Verandah or Balcony values</t>
  </si>
  <si>
    <t>Class 10 values</t>
  </si>
  <si>
    <t>Amount</t>
  </si>
  <si>
    <t>Floor area</t>
  </si>
  <si>
    <t>Floor area Sum</t>
  </si>
  <si>
    <t>Total design Sum</t>
  </si>
  <si>
    <t>AMIPDL &gt; ADIPL (Pass) Class 1, 2 and 4</t>
  </si>
  <si>
    <t>AMIPDL &gt; ADIPL (Pass) Verandah</t>
  </si>
  <si>
    <t>AMIPDL &gt; ADIPL (Pass) Class 10</t>
  </si>
  <si>
    <t>ADIPL &gt; AMIPDL (Fail) Class 1, 2 and 4</t>
  </si>
  <si>
    <t>ADIPL &gt; AMIPDL (Fail) Verandah</t>
  </si>
  <si>
    <t>ADIPL &gt; AMIPDL (Fail) Class 10</t>
  </si>
  <si>
    <t>Class 10 building</t>
  </si>
  <si>
    <t>Within a Class 2 or 4 building</t>
  </si>
  <si>
    <t>If Class 1, 2 or 4 building used</t>
  </si>
  <si>
    <t>If Class 10 building used</t>
  </si>
  <si>
    <t xml:space="preserve">Class 1 building </t>
  </si>
  <si>
    <t>Averages</t>
  </si>
  <si>
    <t>Modification required for the 2003 version to the 2007 version of excel</t>
  </si>
  <si>
    <t>Some text boxes for the calculated outcomes require resizing both calculators</t>
  </si>
  <si>
    <t>2.00</t>
  </si>
  <si>
    <t>(h) Dynamic dimming system</t>
  </si>
  <si>
    <t>(j) Additional lumen depreciation factor</t>
  </si>
  <si>
    <t>(k) Fixed dimming</t>
  </si>
  <si>
    <t xml:space="preserve">Area Used </t>
  </si>
  <si>
    <t>Area Used</t>
  </si>
  <si>
    <t>Advisory Note for multiple use of Classifications or Verandah or Balcony</t>
  </si>
  <si>
    <t>(l) Daylight sensor and dynamic lighting</t>
  </si>
  <si>
    <t>(m) Daylight sensor and dynamic lighting</t>
  </si>
  <si>
    <t>The text boxes for the calculated outcomes advice information needs to formatted. i.e. Bold, Italics and Red font</t>
  </si>
  <si>
    <t>Amend shadow to the text box for the compliance tick or cross</t>
  </si>
  <si>
    <t>Text box prompt for Steps 1-4 i.e. Enter building description, Storey, Classification and Enter description. Amend to Bold, Italics and Green font (both calculators)</t>
  </si>
  <si>
    <t>2.10</t>
  </si>
  <si>
    <t>Correction amendment for the design calculated outcome for Class 1, 2 and 4 buildings.</t>
  </si>
  <si>
    <t>Formatting amendment for the Verandah or Balcony calculated outcome for Class 1, 2 and 4 buildings.</t>
  </si>
  <si>
    <t>Minor editorial amendments.</t>
  </si>
  <si>
    <t>Amend calculator in response to public consultation.</t>
  </si>
  <si>
    <t>Amend the calculations in the Residential Calculator to reflect different lighting zones.</t>
  </si>
  <si>
    <t>Amend adjustment factors in the Residential Calculator in response to changes in NCC 2011.</t>
  </si>
  <si>
    <t>Cell left blank</t>
  </si>
  <si>
    <t>Bld descript /  No Class</t>
  </si>
  <si>
    <t>Bld descript / Class / no input</t>
  </si>
  <si>
    <t>Expanded Allowance</t>
  </si>
  <si>
    <t>2.20:</t>
  </si>
  <si>
    <t>Results in S97:T100 above display in the Allowance and Design</t>
  </si>
  <si>
    <t>Average boxes at the lower right of the visible calculator form.</t>
  </si>
  <si>
    <t>(no dependents)</t>
  </si>
  <si>
    <t>(precedent for tick/cross, conditional formats</t>
  </si>
  <si>
    <t>and % of Allowance Used)</t>
  </si>
  <si>
    <t>(precedent for tick/cross, conditional formats and % of Allowance Used)</t>
  </si>
  <si>
    <t>(precedent for Lighting System Share)</t>
  </si>
  <si>
    <t>(precedent for Pass/Fail tests, conditional formats and % of Allowance Used)</t>
  </si>
  <si>
    <t>Allowance results are precedents for Pass/Fail tests in rows 144</t>
  </si>
  <si>
    <t>to 152 below (columns I and R).</t>
  </si>
  <si>
    <t>No Building description input</t>
  </si>
  <si>
    <t>Formulas</t>
  </si>
  <si>
    <t>Building Descriptn/Classification Valid</t>
  </si>
  <si>
    <t>Lamp or Illumination Power Density</t>
  </si>
  <si>
    <t>System Allowance</t>
  </si>
  <si>
    <t>System Design</t>
  </si>
  <si>
    <t>System Share of % of Aggregate Allowance Used</t>
  </si>
  <si>
    <t>Adjustment Factor One Advice</t>
  </si>
  <si>
    <t>Minor changes to some table headings and advisory message contents.</t>
  </si>
  <si>
    <t>Kitchen</t>
  </si>
  <si>
    <t>Toilet</t>
  </si>
  <si>
    <t>Amendments to wording and order of some entries on this Help screen.</t>
  </si>
  <si>
    <t>Precedent for conditional formatting of orange fill below Advisory Message above lighting systems table</t>
  </si>
  <si>
    <t>top row of Allowance and Design Average reporting</t>
  </si>
  <si>
    <t>Inputs needed</t>
  </si>
  <si>
    <t>sum of row totals below</t>
  </si>
  <si>
    <t>Input Issues</t>
  </si>
  <si>
    <t>Green cell white text</t>
  </si>
  <si>
    <t>Red cell white text</t>
  </si>
  <si>
    <t>White cell green text</t>
  </si>
  <si>
    <t>First Adjustment Factor inputs</t>
  </si>
  <si>
    <t>Lighting System inputs</t>
  </si>
  <si>
    <t>W/m²</t>
  </si>
  <si>
    <t>Location OK</t>
  </si>
  <si>
    <t>Tests below were formerly located in consolidated formulae in columns AT-AV</t>
  </si>
  <si>
    <t>Design Lamp or Illumination Power Load</t>
  </si>
  <si>
    <t>Design Load</t>
  </si>
  <si>
    <t>TRUE if two upper inputs are not blank</t>
  </si>
  <si>
    <t>(b) Motion detector</t>
  </si>
  <si>
    <t>(g) Programmable dimming system</t>
  </si>
  <si>
    <t>Control</t>
  </si>
  <si>
    <t>Factor</t>
  </si>
  <si>
    <t>Common list for both calculators</t>
  </si>
  <si>
    <t>Laundry</t>
  </si>
  <si>
    <t>Bedroom</t>
  </si>
  <si>
    <t>Lounge room</t>
  </si>
  <si>
    <r>
      <t>All blue filled cells form a lookup range for Adjustment Factors (</t>
    </r>
    <r>
      <rPr>
        <b/>
        <i/>
        <sz val="10"/>
        <color rgb="FF0000FF"/>
        <rFont val="Arial"/>
        <family val="2"/>
      </rPr>
      <t>Afactors</t>
    </r>
    <r>
      <rPr>
        <i/>
        <sz val="10"/>
        <color rgb="FF0000FF"/>
        <rFont val="Arial"/>
        <family val="2"/>
      </rPr>
      <t>)</t>
    </r>
  </si>
  <si>
    <t>Set value</t>
  </si>
  <si>
    <t>Obsolete–No dependents</t>
  </si>
  <si>
    <t>Named Range: ResClassifications</t>
  </si>
  <si>
    <t>Delete associated Names</t>
  </si>
  <si>
    <t>Blue filled area below contains 3 Named ranges used by both calculators (for ease of maintenance and updating)</t>
  </si>
  <si>
    <t>Row Not Skipped</t>
  </si>
  <si>
    <t xml:space="preserve"> Notes:</t>
  </si>
  <si>
    <t xml:space="preserve">Fixed Dimming % </t>
  </si>
  <si>
    <t>Fixed Dimming m²</t>
  </si>
  <si>
    <t>all Fixed data</t>
  </si>
  <si>
    <r>
      <t xml:space="preserve">Advice 2 </t>
    </r>
    <r>
      <rPr>
        <i/>
        <sz val="10"/>
        <rFont val="Arial"/>
        <family val="2"/>
      </rPr>
      <t>(not used in this version)</t>
    </r>
  </si>
  <si>
    <r>
      <t xml:space="preserve">General Advisory Note
</t>
    </r>
    <r>
      <rPr>
        <i/>
        <sz val="10"/>
        <color rgb="FF0000FF"/>
        <rFont val="Arial"/>
        <family val="2"/>
      </rPr>
      <t>(Named Range: GeneralAdviceTwo)</t>
    </r>
  </si>
  <si>
    <t>Two Factors Used</t>
  </si>
  <si>
    <t>Display Precision</t>
  </si>
  <si>
    <t>Class 10a</t>
  </si>
  <si>
    <t>White cell red text</t>
  </si>
  <si>
    <t>PassClass1</t>
  </si>
  <si>
    <t>PassBalcony</t>
  </si>
  <si>
    <t>PassClass10</t>
  </si>
  <si>
    <t>FailClass1</t>
  </si>
  <si>
    <t>FailBalcony</t>
  </si>
  <si>
    <t>FailClass10</t>
  </si>
  <si>
    <t>Comparison Precision</t>
  </si>
  <si>
    <t>Design W/m²</t>
  </si>
  <si>
    <t/>
  </si>
  <si>
    <t>Watts</t>
  </si>
  <si>
    <t>Tan cell</t>
  </si>
  <si>
    <t>Percent1</t>
  </si>
  <si>
    <t>PercentBalcony</t>
  </si>
  <si>
    <t>Percent10</t>
  </si>
  <si>
    <t>For labels to left of Allowance boxes above</t>
  </si>
  <si>
    <t>If Verandah or balcony used</t>
  </si>
  <si>
    <t>Balconytrue</t>
  </si>
  <si>
    <t>Dynamic range: ValidLocations Two</t>
  </si>
  <si>
    <t>Label for column C</t>
  </si>
  <si>
    <t>RowsShownTwo</t>
  </si>
  <si>
    <t>Usability improvements including more conditional formatting for missing inputs.</t>
  </si>
  <si>
    <t>PrecisionTwo</t>
  </si>
  <si>
    <t>RowsFilledTwo</t>
  </si>
  <si>
    <t>For outcomes heading text and fill colour</t>
  </si>
  <si>
    <t>TopInputsOKTwo</t>
  </si>
  <si>
    <t>in Volume Two: 3.12.5.5(a) and 3.12.5.5(b),</t>
  </si>
  <si>
    <t>If data validation messages prevent intended input (particularly in the four columns under the Fixed Dimming Percentages headings), read any error message carefully and click Cancel instead of Retry. Read the input advice and enter a suitable value.</t>
  </si>
  <si>
    <t>The two % values reported in each row of the rightmost column are, firstly, the % contribution of each lighting system to the aggregate result for related systems and, secondly, the % of the aggregate allowance used by those related systems. For related systems, the first % values will always add up to 100%. The second % value will be the same for any of the related systems.</t>
  </si>
  <si>
    <t>New screenshots.</t>
  </si>
  <si>
    <t>The Lighting Calculator is not compatible with Google Docs or similar alternatives to Microsoft Excel.</t>
  </si>
  <si>
    <t>The Lighting Calculator applies only the following provisions —</t>
  </si>
  <si>
    <t>All other lighting provisions, including any exemptions, are determined by the relevant provisions of the NCC.</t>
  </si>
  <si>
    <t>The calculator is designed to accept inputs made in sequence. Error and Alert messages, as discussed below, may not work effectively if the designed sequence is not followed. If input restrictions or errors occur, start from the beginning by entering the description of the building, then its Classification and the number of table rows preferred. Next, input the lighting systems, one row at a time, filling in all of the columns except for:</t>
  </si>
  <si>
    <t>Input issues in each row of the lighting systems table are identified in red font on the right of the row (over the Outcomes area).</t>
  </si>
  <si>
    <t>These Help instructions can be printed (using File | Print) for ready reference while using the calculator forms.</t>
  </si>
  <si>
    <r>
      <t>Values 1-13 in the first column appear in Data Validation menus for corridors (</t>
    </r>
    <r>
      <rPr>
        <b/>
        <i/>
        <sz val="10"/>
        <color rgb="FF0000FF"/>
        <rFont val="Arial"/>
        <family val="2"/>
      </rPr>
      <t>ValidControlsAll</t>
    </r>
    <r>
      <rPr>
        <i/>
        <sz val="10"/>
        <color rgb="FF0000FF"/>
        <rFont val="Arial"/>
        <family val="2"/>
      </rPr>
      <t>)</t>
    </r>
  </si>
  <si>
    <r>
      <t>Values 2-13 in the first column appear in Data Validation menus for non-corridor spaces (</t>
    </r>
    <r>
      <rPr>
        <b/>
        <i/>
        <sz val="10"/>
        <color rgb="FF0000FF"/>
        <rFont val="Arial"/>
        <family val="2"/>
      </rPr>
      <t>ValidControlsPart</t>
    </r>
    <r>
      <rPr>
        <i/>
        <sz val="10"/>
        <color rgb="FF0000FF"/>
        <rFont val="Arial"/>
        <family val="2"/>
      </rPr>
      <t>)</t>
    </r>
  </si>
  <si>
    <t>See cell comment in Q25 about the zero for value 14.</t>
  </si>
  <si>
    <t>a</t>
  </si>
  <si>
    <t>b</t>
  </si>
  <si>
    <t>c</t>
  </si>
  <si>
    <t>d</t>
  </si>
  <si>
    <t>e</t>
  </si>
  <si>
    <t>f</t>
  </si>
  <si>
    <t>g</t>
  </si>
  <si>
    <t>h</t>
  </si>
  <si>
    <t>i</t>
  </si>
  <si>
    <t>k</t>
  </si>
  <si>
    <t>j</t>
  </si>
  <si>
    <t>l</t>
  </si>
  <si>
    <t>Class</t>
  </si>
  <si>
    <t xml:space="preserve">Residential List </t>
  </si>
  <si>
    <t>Non-Residential List</t>
  </si>
  <si>
    <t>b)Motion detector</t>
  </si>
  <si>
    <t>c)Motion detector</t>
  </si>
  <si>
    <t>l)Daylight sensor and dynamic lighting</t>
  </si>
  <si>
    <t>Usability improvements including alterations to formatting</t>
  </si>
  <si>
    <t>Minor changes to some table headings</t>
  </si>
  <si>
    <t>Minor correction amendments to the adjustment factor selection</t>
  </si>
  <si>
    <t>2.30:</t>
  </si>
  <si>
    <t>(j)</t>
  </si>
  <si>
    <t>(l)</t>
  </si>
  <si>
    <t>a)Motion detector</t>
  </si>
  <si>
    <t>d)Programmable dimming system</t>
  </si>
  <si>
    <t>e)Fixed dimming</t>
  </si>
  <si>
    <t>f)Lumen depreciation dimming</t>
  </si>
  <si>
    <t>g)Two stage sensor</t>
  </si>
  <si>
    <t>h)Two stage sensor</t>
  </si>
  <si>
    <t>i)Daylight sensor and dynamic lighting</t>
  </si>
  <si>
    <t>j)Daylight sensor and dynamic lighting</t>
  </si>
  <si>
    <t>k)Daylight sensor and dynamic lighting</t>
  </si>
  <si>
    <t>One row removed here to suit 2019 number of factors</t>
  </si>
  <si>
    <t>Class check list for Daylight Sensor and Dynamic Lighting</t>
  </si>
  <si>
    <t>Class 5, 6, 7, 8, 9c, or 9a other than a ward area</t>
  </si>
  <si>
    <t>Class 7</t>
  </si>
  <si>
    <t>Class 3, 9c or 9a ward</t>
  </si>
  <si>
    <t>Dimming % Area</t>
  </si>
  <si>
    <t>a) CRI ≥ 90</t>
  </si>
  <si>
    <t>b) CCT ≤ 3500 K</t>
  </si>
  <si>
    <t>c) CCT ≥ 4500 K</t>
  </si>
  <si>
    <t>Adjustment factors for light colour (only applicable to Class 3,5-9)</t>
  </si>
  <si>
    <t>Volume One Adjustment Factors List</t>
  </si>
  <si>
    <t>For corridor lighting</t>
  </si>
  <si>
    <t>Where—</t>
  </si>
  <si>
    <t>Where up to 6 lights are switched as a block by one or more detectors</t>
  </si>
  <si>
    <t>(d)</t>
  </si>
  <si>
    <t>Where up to 2 lights are switched as a block by one or more detectors</t>
  </si>
  <si>
    <t>Manual dimming system (Note 1)</t>
  </si>
  <si>
    <r>
      <t>(e)</t>
    </r>
    <r>
      <rPr>
        <sz val="10"/>
        <rFont val="Arial"/>
        <family val="2"/>
      </rPr>
      <t/>
    </r>
  </si>
  <si>
    <t>Dynamic dimming system (Note 3)</t>
  </si>
  <si>
    <t>Value to be entered into third column of adjustment factors</t>
  </si>
  <si>
    <t>Fixed dimming (Note 4)</t>
  </si>
  <si>
    <t xml:space="preserve">Where at least 75% of the floor area is controlled by fixed dimmers that reduce the overall lighting level and the power consumption of the lighting </t>
  </si>
  <si>
    <t>% of full power to which the dimmer is set divided by 0.95</t>
  </si>
  <si>
    <t>Lights within the space adjacent to windows other than roof lights for a distance from the window equal to the depth of the floor to window head height.</t>
  </si>
  <si>
    <t>Lights within the space adjacent to roof lights</t>
  </si>
  <si>
    <t>Manual dimming is where lights are controlled by a knob, slider or other mechanism or where there are pre-selected scenes that are manually selected.</t>
  </si>
  <si>
    <t>Programmed dimming is where pre-selected scenes or levels are automatically selected by the time of day, photoelectric cell or occupancy sensor.</t>
  </si>
  <si>
    <t>Dynamic dimming is where the lighting level is varied automatically by a photoelectric cell to either proportionally compensate for the availability of daylight or the lumen depreciation of the lamps.</t>
  </si>
  <si>
    <t>Fixed dimming is where lights are controlled to a level and that level cannot be adjusted by the user.</t>
  </si>
  <si>
    <t>5.</t>
  </si>
  <si>
    <t xml:space="preserve">The illumination power density adjustment factor is only applied to lights controlled by that item. This adjustment factor does not apply to tungsten halogen or other incandescent sources.
</t>
  </si>
  <si>
    <t>ILLUMINATION POWER DENSITY ADJUSTMENT FACTOR FOR A CONTROL DEVICE (VOLUME TWO)</t>
  </si>
  <si>
    <t>Lighting timer</t>
  </si>
  <si>
    <t>Motion detector</t>
  </si>
  <si>
    <t xml:space="preserve">(aa) at least 75% of the floor area of a space is controlled by one or more motion detectors; or </t>
  </si>
  <si>
    <t>(bb) an area of less than 200 m² is switched as a block by one or more detectors</t>
  </si>
  <si>
    <t>Where not less than 75% of the area of a space is controlled by manually operated dimmers</t>
  </si>
  <si>
    <t>Where not less than 75% of the area of a space is controlled by programmable dimmers</t>
  </si>
  <si>
    <t>Fluorescent lights with automatic compensation for lumen depreciation</t>
  </si>
  <si>
    <t>The design lumen depreciation factor - not less than 0.9</t>
  </si>
  <si>
    <t>High pressure discharge lights with automatic compensation for lumen depreciation</t>
  </si>
  <si>
    <t>The design lumen depreciation factor - not less than 0.8</t>
  </si>
  <si>
    <r>
      <t>(i)</t>
    </r>
    <r>
      <rPr>
        <sz val="10"/>
        <rFont val="Arial"/>
        <family val="2"/>
      </rPr>
      <t/>
    </r>
  </si>
  <si>
    <t>a)Lighting timer (corridor)</t>
  </si>
  <si>
    <t>d)Motion detector</t>
  </si>
  <si>
    <t>e)Manual dimming system</t>
  </si>
  <si>
    <t>Volume Two Adjustment Factors List</t>
  </si>
  <si>
    <t>f)Programmable dimming system</t>
  </si>
  <si>
    <t>g)Dynamic dimming system (fluoros)</t>
  </si>
  <si>
    <t>h)Dynamic dimming system (discharge)</t>
  </si>
  <si>
    <t>i)Additional lumen depreciation factor</t>
  </si>
  <si>
    <t>j)Fixed dimming</t>
  </si>
  <si>
    <t>Volume Two?</t>
  </si>
  <si>
    <t>Adjustment 1 inputs OK (Volume Two)</t>
  </si>
  <si>
    <t>Fixed Dimming @ Illuminance Factor</t>
  </si>
  <si>
    <t>Illuminance Factor @ Fixed Dimming</t>
  </si>
  <si>
    <t>NA Check</t>
  </si>
  <si>
    <t>Depreciation Factor @ Design LPF</t>
  </si>
  <si>
    <t>Design LDF @ Additional LDF</t>
  </si>
  <si>
    <t>Fixed Dimming % Without Fixed Dimming Selected</t>
  </si>
  <si>
    <t>Valid Adjustment Factor</t>
  </si>
  <si>
    <t>IMPORTANT NOTICE AND DISCLAIMER IN RESPECT OF THIS LIGHTING CALCULATOR</t>
  </si>
  <si>
    <t>Design lumen depreciation factor other than those mentioned above 
(Additional lumen depreciation factor)</t>
  </si>
  <si>
    <t>3.00:</t>
  </si>
  <si>
    <t>Separation between adjustment factors in Volume One and Volume Two added, with separate reference tables to reflect the provisions of 2019</t>
  </si>
  <si>
    <t>Correct input checks updated to suit new requirements for 2019 Volume One adjustment factors</t>
  </si>
  <si>
    <t>Help and Screenshots updated to reflect changes</t>
  </si>
  <si>
    <t>New protection and passwords</t>
  </si>
  <si>
    <t>The Lighting Calculator has been developed in the Windows ® version of Microsoft Excel ®. This file, in the .xlsx format, is suitable for use in the 2010 and later versions of Excel for Windows.</t>
  </si>
  <si>
    <t>The Lighting Calculator is not compatible with Microsoft Excel 2003 or earlier, while substantial data validation issues may be encountered using Microsoft Excel 2007.</t>
  </si>
  <si>
    <t xml:space="preserve">When opening the Calculator, the first screen will provide four navigation options which are explained in notes 8 to 11 below.
</t>
  </si>
  <si>
    <t>Calculator</t>
  </si>
  <si>
    <r>
      <t xml:space="preserve">Illumination Power Density Adjustment Factors for a Control Device:
</t>
    </r>
    <r>
      <rPr>
        <sz val="14"/>
        <rFont val="Arial"/>
        <family val="2"/>
      </rPr>
      <t xml:space="preserve">The calculator provides links to this screen, which outlines the information contained in 3.12.5.5(f) of NCC Volume Two.  When using this screen, it is important to note the letter located on the left hand side of each adjustment factor because this letter is used to identify adjustment factors in the drop down menus provided by the calculators. 
</t>
    </r>
  </si>
  <si>
    <r>
      <t xml:space="preserve">Help screen:
</t>
    </r>
    <r>
      <rPr>
        <sz val="14"/>
        <rFont val="Arial"/>
        <family val="2"/>
      </rPr>
      <t xml:space="preserve">This option navigates to this page with its tips for using the calculator and links to screenshots with explanatory notes.
</t>
    </r>
  </si>
  <si>
    <r>
      <t xml:space="preserve">Worksheet:
</t>
    </r>
    <r>
      <rPr>
        <sz val="14"/>
        <rFont val="Arial"/>
        <family val="2"/>
      </rPr>
      <t xml:space="preserve">The worksheet has been made available to record notes or to make other calculations. The use of the worksheet is optional and responsibility for its contents and consequences remains entirely with the user
</t>
    </r>
  </si>
  <si>
    <r>
      <t xml:space="preserve">Lamp / Illumination Power Density Allowance
</t>
    </r>
    <r>
      <rPr>
        <b/>
        <i/>
        <sz val="14"/>
        <color theme="0"/>
        <rFont val="Arial"/>
        <family val="2"/>
      </rPr>
      <t>(prior to use of any Adjustment Factors)</t>
    </r>
  </si>
  <si>
    <r>
      <t xml:space="preserve">Lamp / Illumination Power Density Allowance
</t>
    </r>
    <r>
      <rPr>
        <b/>
        <i/>
        <sz val="14"/>
        <color theme="0"/>
        <rFont val="Arial"/>
        <family val="2"/>
      </rPr>
      <t>(after use of any Adjustment Factors)</t>
    </r>
  </si>
  <si>
    <r>
      <t xml:space="preserve">Daylight sensor and dynamic lighting control device in accordance with Specification J6 - dimmed or stepped switching of lights adjacent </t>
    </r>
    <r>
      <rPr>
        <b/>
        <i/>
        <sz val="14"/>
        <rFont val="Arial"/>
        <family val="2"/>
      </rPr>
      <t>windows</t>
    </r>
  </si>
  <si>
    <r>
      <t>(k)</t>
    </r>
    <r>
      <rPr>
        <sz val="14"/>
        <rFont val="Arial"/>
        <family val="2"/>
      </rPr>
      <t xml:space="preserve"> </t>
    </r>
  </si>
  <si>
    <t xml:space="preserve">Each calculator form has been designed for viewing as a whole "page" with 10 rows visible in the lighting systems table when the Excel ribbon is minimised, assuming a screen resolution of 1920 x 1080 pixels. At this resolution, the zoom function (located on the top tool bar, under View | Zoom, or at the bottom right hand corner of the Excel window should be set to 70%. </t>
  </si>
  <si>
    <t>Adjustment Factor</t>
  </si>
  <si>
    <t>This version of the Lighting Calculator was first issued for use with Part 3.12.5.5 Artificial lighting in Volume Two of NCC 2019. Updates to this file may be available from the ABCB website from time to time. The file name will include the version number. The latest version should always be used.</t>
  </si>
  <si>
    <r>
      <t>Residential Lighting Calculator for NCC Volume Two:</t>
    </r>
    <r>
      <rPr>
        <sz val="14"/>
        <rFont val="Arial"/>
        <family val="2"/>
      </rPr>
      <t xml:space="preserve">
This calculator can be used with NCC Volume Two, for a Class 1 building and a Class 10a building associated with a Class 1 building.
</t>
    </r>
  </si>
  <si>
    <r>
      <rPr>
        <b/>
        <sz val="14"/>
        <rFont val="Arial"/>
        <family val="2"/>
      </rPr>
      <t>Additional information:</t>
    </r>
    <r>
      <rPr>
        <sz val="14"/>
        <rFont val="Arial"/>
        <family val="2"/>
      </rPr>
      <t xml:space="preserve">
Additional information is provided in a table beyond the right hand side of each calculator. This is for information only and is intended to offer the user a greater understanding of the figures involved in producing the final outcome values. The values relate to the individual rows of the related calculator but the information is not designed to be printed out.  </t>
    </r>
  </si>
  <si>
    <t>Displaying the calculator forms</t>
  </si>
  <si>
    <t>Users can change the number of rows in the table by using the arrow to the left of the 'ID' heading near the top left of the lighting systems table. First set the number of rows preferred in the input cell immediately above the table. (Up to 40 rows can be displayed for this Residential Calculator) Then click the arrow and select that number in the drop down list which opens. (The number set will be the only number shown in the list.)</t>
  </si>
  <si>
    <t>• the Adjustment Factor columns, if no adjustment factor is going to be used.</t>
  </si>
  <si>
    <t>Error and alert messages</t>
  </si>
  <si>
    <t>Outcomes reporting</t>
  </si>
  <si>
    <t>The outcomes on the right hand side of the Calculator form will be displayed with a colour coding which is illustrated on the screenshots sheet. In general, green is used to indicate a Pass and red highlights a Failure.</t>
  </si>
  <si>
    <t>Calculator outcomes resulting in a "tick" are valid only if all of the input details comply with relevant NCC Deemed-to-Satisfy (DTS) Provisions.</t>
  </si>
  <si>
    <t>Printing</t>
  </si>
  <si>
    <t>The print area has been pre-set to allow printing as one or more A4 pages (landscape format), depending on the number of rows displayed in the form. Some margins may need adjustment to suit some printers (particularly inkjets).</t>
  </si>
  <si>
    <t>Updated to reflect changes to the NCC 2019 and separate the Volume One And Volume Two Lighting Calculators</t>
  </si>
  <si>
    <t>Styling updates</t>
  </si>
  <si>
    <t>Correction amendments for outcome reporting in both the Residential Calculator and Non-residential Calculator, including conditional formatting changes.</t>
  </si>
  <si>
    <t>Correction of calculation for fixed dimming used as a second adjustment factor in the Residential Calculator.</t>
  </si>
  <si>
    <t>Removal of the 'Storey' identifier from both the Residential and Non-residential Calculators.</t>
  </si>
  <si>
    <r>
      <t>The Australian Building Codes Board (ABCB) would like to acknowledge and thank the practitioners, industry bodies and government agencies who assisted in the development of the Lighting Calculator. This assistance has helped refine the Calculator</t>
    </r>
    <r>
      <rPr>
        <sz val="14"/>
        <color rgb="FFFF0000"/>
        <rFont val="Arial"/>
        <family val="2"/>
      </rPr>
      <t>,</t>
    </r>
    <r>
      <rPr>
        <sz val="14"/>
        <rFont val="Arial"/>
        <family val="2"/>
      </rPr>
      <t xml:space="preserve"> improving its functionality and user interface.</t>
    </r>
  </si>
  <si>
    <t>Colour Guide</t>
  </si>
  <si>
    <t>Input</t>
  </si>
  <si>
    <t>Calculated</t>
  </si>
  <si>
    <t>N/A</t>
  </si>
  <si>
    <t>Satisfied</t>
  </si>
  <si>
    <t>Not Satisfied</t>
  </si>
  <si>
    <t>Gold</t>
  </si>
  <si>
    <t>White</t>
  </si>
  <si>
    <t>Grey</t>
  </si>
  <si>
    <t>Green</t>
  </si>
  <si>
    <t>Red</t>
  </si>
  <si>
    <t>Example building</t>
  </si>
  <si>
    <t>Bed 1</t>
  </si>
  <si>
    <t>Lounge 1</t>
  </si>
  <si>
    <t>Living</t>
  </si>
  <si>
    <t>Bed 2</t>
  </si>
  <si>
    <t>Bed 3</t>
  </si>
  <si>
    <t>Verandah</t>
  </si>
  <si>
    <t>Class 1 building</t>
  </si>
  <si>
    <t>Class 10a building</t>
  </si>
  <si>
    <t>Calculator version (3.10):</t>
  </si>
  <si>
    <t>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</si>
</sst>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00"/>
    <numFmt numFmtId="165" formatCode="0.0"/>
    <numFmt numFmtId="166" formatCode="#,##0.0&quot; m²&quot;"/>
    <numFmt numFmtId="167" formatCode="0_ ;[Red]\-0\ "/>
    <numFmt numFmtId="168" formatCode="#\ \W"/>
    <numFmt numFmtId="169" formatCode="#,##0.0\ \W"/>
    <numFmt numFmtId="170" formatCode="0\ \W"/>
    <numFmt numFmtId="171" formatCode="0."/>
    <numFmt numFmtId="172" formatCode="#."/>
    <numFmt numFmtId="173" formatCode="0.0\ &quot;W/m²&quot;"/>
    <numFmt numFmtId="174" formatCode="#,##0.00\ &quot;W/m²&quot;"/>
    <numFmt numFmtId="175" formatCode="0.00\ &quot;W/m²&quot;"/>
    <numFmt numFmtId="176" formatCode="0.000%"/>
    <numFmt numFmtId="177" formatCode="#,##0.0&quot; W/m²&quot;"/>
    <numFmt numFmtId="178" formatCode="General;;"/>
    <numFmt numFmtId="179" formatCode="0.00;;"/>
    <numFmt numFmtId="180" formatCode="#,##0.0\ &quot;W/m²&quot;"/>
  </numFmts>
  <fonts count="55" x14ac:knownFonts="1">
    <font>
      <sz val="10"/>
      <name val="Arial"/>
    </font>
    <font>
      <sz val="10"/>
      <color theme="1"/>
      <name val="Arial"/>
      <family val="2"/>
    </font>
    <font>
      <sz val="10"/>
      <name val="Arial"/>
      <family val="2"/>
    </font>
    <font>
      <sz val="8"/>
      <name val="Arial"/>
      <family val="2"/>
    </font>
    <font>
      <i/>
      <sz val="10"/>
      <name val="Arial"/>
      <family val="2"/>
    </font>
    <font>
      <sz val="10"/>
      <name val="Arial"/>
      <family val="2"/>
    </font>
    <font>
      <sz val="18"/>
      <name val="Arial"/>
      <family val="2"/>
    </font>
    <font>
      <b/>
      <sz val="16"/>
      <name val="Arial"/>
      <family val="2"/>
    </font>
    <font>
      <sz val="12"/>
      <name val="Arial"/>
      <family val="2"/>
    </font>
    <font>
      <b/>
      <sz val="10"/>
      <name val="Arial"/>
      <family val="2"/>
    </font>
    <font>
      <sz val="8"/>
      <color indexed="81"/>
      <name val="Tahoma"/>
      <family val="2"/>
    </font>
    <font>
      <b/>
      <sz val="8"/>
      <color indexed="81"/>
      <name val="Tahoma"/>
      <family val="2"/>
    </font>
    <font>
      <b/>
      <sz val="12"/>
      <name val="Arial"/>
      <family val="2"/>
    </font>
    <font>
      <sz val="18"/>
      <color indexed="9"/>
      <name val="Arial"/>
      <family val="2"/>
    </font>
    <font>
      <b/>
      <i/>
      <sz val="10"/>
      <name val="Arial"/>
      <family val="2"/>
    </font>
    <font>
      <sz val="14"/>
      <color indexed="9"/>
      <name val="Arial"/>
      <family val="2"/>
    </font>
    <font>
      <b/>
      <u/>
      <sz val="10"/>
      <name val="Arial"/>
      <family val="2"/>
    </font>
    <font>
      <b/>
      <u/>
      <sz val="10"/>
      <name val="Arial"/>
      <family val="2"/>
    </font>
    <font>
      <sz val="9"/>
      <color indexed="81"/>
      <name val="Tahoma"/>
      <family val="2"/>
    </font>
    <font>
      <b/>
      <sz val="9"/>
      <color indexed="81"/>
      <name val="Tahoma"/>
      <family val="2"/>
    </font>
    <font>
      <sz val="9"/>
      <name val="Arial"/>
      <family val="2"/>
    </font>
    <font>
      <u/>
      <sz val="10"/>
      <color theme="10"/>
      <name val="Arial"/>
      <family val="2"/>
    </font>
    <font>
      <u/>
      <sz val="10"/>
      <color theme="11"/>
      <name val="Arial"/>
      <family val="2"/>
    </font>
    <font>
      <i/>
      <sz val="10"/>
      <color rgb="FF0000FF"/>
      <name val="Arial"/>
      <family val="2"/>
    </font>
    <font>
      <sz val="10"/>
      <color rgb="FFFF0000"/>
      <name val="Arial"/>
      <family val="2"/>
    </font>
    <font>
      <sz val="10"/>
      <color rgb="FF0000FF"/>
      <name val="Arial"/>
      <family val="2"/>
    </font>
    <font>
      <sz val="10"/>
      <color theme="1" tint="0.499984740745262"/>
      <name val="Arial"/>
      <family val="2"/>
    </font>
    <font>
      <sz val="10"/>
      <color theme="0"/>
      <name val="Arial"/>
      <family val="2"/>
    </font>
    <font>
      <b/>
      <sz val="8"/>
      <name val="Arial"/>
      <family val="2"/>
    </font>
    <font>
      <b/>
      <i/>
      <sz val="10"/>
      <color theme="1" tint="0.499984740745262"/>
      <name val="Arial"/>
      <family val="2"/>
    </font>
    <font>
      <b/>
      <sz val="10"/>
      <color theme="1" tint="0.499984740745262"/>
      <name val="Arial"/>
      <family val="2"/>
    </font>
    <font>
      <b/>
      <sz val="10"/>
      <color rgb="FF0000FF"/>
      <name val="Arial"/>
      <family val="2"/>
    </font>
    <font>
      <b/>
      <i/>
      <sz val="10"/>
      <color rgb="FF0000FF"/>
      <name val="Arial"/>
      <family val="2"/>
    </font>
    <font>
      <sz val="10"/>
      <name val="Arial"/>
      <family val="2"/>
    </font>
    <font>
      <sz val="6"/>
      <color indexed="9"/>
      <name val="Arial"/>
      <family val="2"/>
    </font>
    <font>
      <sz val="6"/>
      <name val="Arial"/>
      <family val="2"/>
    </font>
    <font>
      <sz val="11"/>
      <name val="Calibri"/>
      <family val="2"/>
    </font>
    <font>
      <b/>
      <sz val="9"/>
      <name val="Arial"/>
      <family val="2"/>
    </font>
    <font>
      <b/>
      <sz val="10"/>
      <color theme="0"/>
      <name val="Arial"/>
      <family val="2"/>
    </font>
    <font>
      <sz val="11"/>
      <color theme="1"/>
      <name val="Arial"/>
      <family val="2"/>
    </font>
    <font>
      <b/>
      <sz val="8"/>
      <color theme="1"/>
      <name val="Arial"/>
      <family val="2"/>
    </font>
    <font>
      <sz val="8"/>
      <color theme="1"/>
      <name val="Arial"/>
      <family val="2"/>
    </font>
    <font>
      <sz val="18"/>
      <color rgb="FFC7CBCE"/>
      <name val="Arial"/>
      <family val="2"/>
    </font>
    <font>
      <b/>
      <sz val="14"/>
      <name val="Arial"/>
      <family val="2"/>
    </font>
    <font>
      <sz val="14"/>
      <name val="Arial"/>
      <family val="2"/>
    </font>
    <font>
      <sz val="14"/>
      <color indexed="23"/>
      <name val="Arial"/>
      <family val="2"/>
    </font>
    <font>
      <sz val="14"/>
      <color rgb="FFFF0000"/>
      <name val="Arial"/>
      <family val="2"/>
    </font>
    <font>
      <b/>
      <i/>
      <sz val="14"/>
      <name val="Arial"/>
      <family val="2"/>
    </font>
    <font>
      <i/>
      <sz val="14"/>
      <name val="Arial"/>
      <family val="2"/>
    </font>
    <font>
      <b/>
      <sz val="14"/>
      <color theme="0"/>
      <name val="Arial"/>
      <family val="2"/>
    </font>
    <font>
      <sz val="14"/>
      <color theme="0"/>
      <name val="Arial"/>
      <family val="2"/>
    </font>
    <font>
      <b/>
      <i/>
      <sz val="14"/>
      <color theme="0"/>
      <name val="Arial"/>
      <family val="2"/>
    </font>
    <font>
      <i/>
      <sz val="12"/>
      <name val="Arial"/>
      <family val="2"/>
    </font>
    <font>
      <b/>
      <sz val="75"/>
      <name val="Wingdings"/>
      <charset val="2"/>
    </font>
    <font>
      <sz val="14"/>
      <color theme="1"/>
      <name val="Arial"/>
      <family val="2"/>
    </font>
  </fonts>
  <fills count="27">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53"/>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rgb="FFFF66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0C0C0"/>
        <bgColor indexed="64"/>
      </patternFill>
    </fill>
    <fill>
      <patternFill patternType="solid">
        <fgColor rgb="FFC7CBCE"/>
        <bgColor indexed="64"/>
      </patternFill>
    </fill>
    <fill>
      <patternFill patternType="solid">
        <fgColor rgb="FFC08F81"/>
        <bgColor indexed="64"/>
      </patternFill>
    </fill>
    <fill>
      <patternFill patternType="solid">
        <fgColor rgb="FF720205"/>
        <bgColor indexed="64"/>
      </patternFill>
    </fill>
    <fill>
      <patternFill patternType="solid">
        <fgColor rgb="FFA78E64"/>
        <bgColor indexed="64"/>
      </patternFill>
    </fill>
    <fill>
      <patternFill patternType="solid">
        <fgColor theme="0"/>
        <bgColor rgb="FF000000"/>
      </patternFill>
    </fill>
    <fill>
      <patternFill patternType="solid">
        <fgColor rgb="FFDBD2C2"/>
        <bgColor indexed="64"/>
      </patternFill>
    </fill>
    <fill>
      <patternFill patternType="darkUp">
        <fgColor rgb="FFDBD2C2"/>
        <bgColor theme="0"/>
      </patternFill>
    </fill>
    <fill>
      <patternFill patternType="solid">
        <fgColor rgb="FF999FA7"/>
        <bgColor indexed="64"/>
      </patternFill>
    </fill>
    <fill>
      <patternFill patternType="solid">
        <fgColor rgb="FF234396"/>
        <bgColor indexed="64"/>
      </patternFill>
    </fill>
    <fill>
      <patternFill patternType="solid">
        <fgColor rgb="FFB8CDCB"/>
        <bgColor indexed="64"/>
      </patternFill>
    </fill>
    <fill>
      <patternFill patternType="solid">
        <fgColor rgb="FFD8BABB"/>
        <bgColor indexed="64"/>
      </patternFill>
    </fill>
  </fills>
  <borders count="80">
    <border>
      <left/>
      <right/>
      <top/>
      <bottom/>
      <diagonal/>
    </border>
    <border>
      <left style="thin">
        <color indexed="22"/>
      </left>
      <right style="thin">
        <color indexed="22"/>
      </right>
      <top style="thin">
        <color indexed="22"/>
      </top>
      <bottom style="thin">
        <color indexed="22"/>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bottom style="thin">
        <color indexed="22"/>
      </bottom>
      <diagonal/>
    </border>
    <border>
      <left style="thin">
        <color auto="1"/>
      </left>
      <right/>
      <top/>
      <bottom/>
      <diagonal/>
    </border>
    <border>
      <left/>
      <right/>
      <top style="thin">
        <color indexed="22"/>
      </top>
      <bottom style="thin">
        <color indexed="22"/>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right/>
      <top style="thin">
        <color auto="1"/>
      </top>
      <bottom style="thin">
        <color auto="1"/>
      </bottom>
      <diagonal/>
    </border>
    <border>
      <left style="thin">
        <color indexed="22"/>
      </left>
      <right style="thin">
        <color indexed="22"/>
      </right>
      <top/>
      <bottom/>
      <diagonal/>
    </border>
    <border>
      <left/>
      <right/>
      <top style="thin">
        <color indexed="22"/>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3"/>
      </left>
      <right/>
      <top style="thin">
        <color auto="1"/>
      </top>
      <bottom/>
      <diagonal/>
    </border>
    <border>
      <left style="thin">
        <color indexed="63"/>
      </left>
      <right/>
      <top/>
      <bottom style="thin">
        <color auto="1"/>
      </bottom>
      <diagonal/>
    </border>
    <border>
      <left style="thin">
        <color indexed="22"/>
      </left>
      <right style="thin">
        <color indexed="22"/>
      </right>
      <top style="thin">
        <color indexed="22"/>
      </top>
      <bottom/>
      <diagonal/>
    </border>
    <border>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indexed="64"/>
      </right>
      <top/>
      <bottom style="thin">
        <color auto="1"/>
      </bottom>
      <diagonal/>
    </border>
    <border>
      <left/>
      <right style="thin">
        <color indexed="64"/>
      </right>
      <top/>
      <bottom/>
      <diagonal/>
    </border>
    <border>
      <left/>
      <right/>
      <top style="thin">
        <color indexed="64"/>
      </top>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s>
  <cellStyleXfs count="18">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9" fontId="33"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615">
    <xf numFmtId="0" fontId="0" fillId="0" borderId="0" xfId="0"/>
    <xf numFmtId="0" fontId="0" fillId="0" borderId="0" xfId="0" applyBorder="1"/>
    <xf numFmtId="0" fontId="0" fillId="0" borderId="0" xfId="0" applyFill="1" applyBorder="1" applyAlignment="1"/>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Border="1" applyAlignment="1"/>
    <xf numFmtId="0" fontId="0" fillId="0" borderId="0" xfId="0" applyBorder="1" applyAlignment="1">
      <alignment wrapText="1"/>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xf numFmtId="0" fontId="0" fillId="0" borderId="0" xfId="0" applyAlignment="1" applyProtection="1">
      <alignment horizontal="left"/>
    </xf>
    <xf numFmtId="0" fontId="0" fillId="0" borderId="0" xfId="0" applyProtection="1"/>
    <xf numFmtId="0" fontId="0" fillId="0" borderId="0" xfId="0" applyBorder="1" applyProtection="1"/>
    <xf numFmtId="0" fontId="0" fillId="0" borderId="0" xfId="0" applyAlignment="1" applyProtection="1">
      <alignment wrapText="1"/>
    </xf>
    <xf numFmtId="164" fontId="0" fillId="0" borderId="0" xfId="0" applyNumberFormat="1" applyAlignment="1" applyProtection="1">
      <alignment horizontal="center" vertical="center"/>
    </xf>
    <xf numFmtId="0" fontId="0" fillId="5" borderId="0" xfId="0" applyFill="1" applyBorder="1" applyAlignment="1" applyProtection="1">
      <alignment horizontal="center" vertical="center"/>
    </xf>
    <xf numFmtId="0" fontId="0" fillId="5" borderId="0" xfId="0" applyFill="1" applyAlignment="1" applyProtection="1">
      <alignment horizontal="center" vertical="center"/>
    </xf>
    <xf numFmtId="0" fontId="0" fillId="0" borderId="0" xfId="0" applyAlignment="1" applyProtection="1">
      <alignment horizontal="center"/>
    </xf>
    <xf numFmtId="2" fontId="0" fillId="6" borderId="1" xfId="0" applyNumberFormat="1" applyFill="1" applyBorder="1" applyAlignment="1" applyProtection="1">
      <alignment horizontal="center" vertical="center"/>
    </xf>
    <xf numFmtId="0" fontId="0" fillId="6" borderId="1" xfId="0" applyFill="1" applyBorder="1" applyAlignment="1" applyProtection="1">
      <alignment horizontal="center" vertical="center"/>
    </xf>
    <xf numFmtId="0" fontId="0" fillId="0" borderId="1" xfId="0" applyBorder="1" applyProtection="1"/>
    <xf numFmtId="2" fontId="0" fillId="0" borderId="1" xfId="0" applyNumberFormat="1" applyBorder="1" applyProtection="1"/>
    <xf numFmtId="164" fontId="0" fillId="0" borderId="0" xfId="0" applyNumberFormat="1" applyFill="1" applyBorder="1" applyAlignment="1" applyProtection="1">
      <alignment horizontal="center" vertical="center"/>
    </xf>
    <xf numFmtId="0" fontId="0" fillId="0" borderId="0" xfId="0" applyAlignment="1" applyProtection="1">
      <alignment horizontal="center" vertical="center"/>
    </xf>
    <xf numFmtId="2" fontId="0" fillId="0" borderId="0" xfId="0" applyNumberFormat="1" applyProtection="1"/>
    <xf numFmtId="10" fontId="0" fillId="0" borderId="0" xfId="0" applyNumberFormat="1" applyProtection="1"/>
    <xf numFmtId="0" fontId="0" fillId="2" borderId="0" xfId="0" applyFill="1" applyProtection="1"/>
    <xf numFmtId="0" fontId="0" fillId="2" borderId="0" xfId="0" applyFill="1" applyAlignment="1" applyProtection="1">
      <alignment wrapText="1"/>
    </xf>
    <xf numFmtId="164" fontId="0" fillId="2" borderId="0" xfId="0" applyNumberFormat="1" applyFill="1" applyAlignment="1" applyProtection="1">
      <alignment horizontal="center" vertical="center"/>
    </xf>
    <xf numFmtId="0" fontId="0" fillId="2" borderId="0" xfId="0" applyFill="1" applyAlignment="1" applyProtection="1"/>
    <xf numFmtId="0" fontId="0" fillId="2" borderId="0" xfId="0" applyFill="1" applyAlignment="1" applyProtection="1">
      <alignment horizontal="left" vertical="center" wrapText="1"/>
    </xf>
    <xf numFmtId="0" fontId="0" fillId="2" borderId="0" xfId="0" applyFill="1" applyAlignment="1" applyProtection="1">
      <alignment horizontal="right"/>
    </xf>
    <xf numFmtId="164" fontId="0" fillId="2" borderId="0" xfId="0" applyNumberFormat="1" applyFill="1" applyAlignment="1" applyProtection="1">
      <alignment vertical="center"/>
    </xf>
    <xf numFmtId="165" fontId="0" fillId="2" borderId="0" xfId="0" applyNumberFormat="1" applyFill="1" applyAlignment="1" applyProtection="1">
      <alignment vertical="center"/>
    </xf>
    <xf numFmtId="164" fontId="0" fillId="2" borderId="0" xfId="0" applyNumberFormat="1" applyFill="1" applyProtection="1"/>
    <xf numFmtId="165" fontId="0" fillId="2" borderId="0" xfId="0" applyNumberFormat="1" applyFill="1" applyProtection="1"/>
    <xf numFmtId="0" fontId="0" fillId="2" borderId="0" xfId="0" applyFill="1" applyAlignment="1" applyProtection="1">
      <alignment horizontal="right" wrapText="1"/>
    </xf>
    <xf numFmtId="0" fontId="9" fillId="2" borderId="0" xfId="0" applyFont="1" applyFill="1" applyProtection="1"/>
    <xf numFmtId="0" fontId="9" fillId="2" borderId="0" xfId="0" applyFont="1" applyFill="1" applyAlignment="1" applyProtection="1">
      <alignment wrapText="1"/>
    </xf>
    <xf numFmtId="1" fontId="0" fillId="2" borderId="0" xfId="0" applyNumberFormat="1" applyFill="1" applyProtection="1"/>
    <xf numFmtId="10" fontId="0" fillId="2" borderId="0" xfId="0" applyNumberFormat="1" applyFill="1" applyAlignment="1" applyProtection="1">
      <alignment wrapText="1"/>
    </xf>
    <xf numFmtId="0" fontId="0" fillId="0" borderId="0" xfId="0" applyProtection="1">
      <protection locked="0"/>
    </xf>
    <xf numFmtId="0" fontId="0" fillId="0" borderId="0" xfId="0" applyBorder="1" applyAlignment="1" applyProtection="1">
      <alignment wrapText="1"/>
    </xf>
    <xf numFmtId="0" fontId="0" fillId="0" borderId="12" xfId="0" applyBorder="1" applyProtection="1"/>
    <xf numFmtId="0" fontId="0" fillId="0" borderId="5" xfId="0" applyBorder="1" applyProtection="1"/>
    <xf numFmtId="0" fontId="0" fillId="0" borderId="8" xfId="0" applyBorder="1" applyProtection="1"/>
    <xf numFmtId="0" fontId="0" fillId="0" borderId="9" xfId="0" applyBorder="1" applyProtection="1"/>
    <xf numFmtId="0" fontId="0" fillId="0" borderId="6" xfId="0" applyBorder="1" applyProtection="1"/>
    <xf numFmtId="0" fontId="0" fillId="0" borderId="7" xfId="0" applyBorder="1" applyProtection="1"/>
    <xf numFmtId="0" fontId="0" fillId="6" borderId="5" xfId="0" applyFill="1" applyBorder="1" applyAlignment="1" applyProtection="1">
      <alignment horizontal="center" vertical="center"/>
    </xf>
    <xf numFmtId="0" fontId="0" fillId="6" borderId="0" xfId="0" applyFill="1" applyAlignment="1" applyProtection="1">
      <alignment horizontal="center" vertical="center"/>
    </xf>
    <xf numFmtId="10" fontId="0" fillId="0" borderId="0" xfId="0" applyNumberFormat="1" applyBorder="1" applyAlignment="1" applyProtection="1">
      <alignment horizontal="center" vertical="center"/>
    </xf>
    <xf numFmtId="2" fontId="0" fillId="0" borderId="0" xfId="0" applyNumberFormat="1" applyBorder="1" applyProtection="1"/>
    <xf numFmtId="2" fontId="0" fillId="0" borderId="0" xfId="0" applyNumberFormat="1" applyFill="1" applyBorder="1" applyAlignment="1" applyProtection="1">
      <alignment horizontal="center" vertical="center"/>
    </xf>
    <xf numFmtId="0" fontId="0" fillId="0" borderId="0" xfId="0" applyFill="1" applyAlignment="1" applyProtection="1">
      <alignment horizontal="center" vertical="center"/>
    </xf>
    <xf numFmtId="0" fontId="0" fillId="0" borderId="0" xfId="0" applyFill="1" applyAlignment="1">
      <alignment wrapText="1"/>
    </xf>
    <xf numFmtId="166" fontId="0" fillId="2" borderId="0" xfId="0" applyNumberFormat="1" applyFill="1" applyProtection="1"/>
    <xf numFmtId="0" fontId="0" fillId="0" borderId="0" xfId="0" applyFill="1" applyBorder="1" applyProtection="1"/>
    <xf numFmtId="0" fontId="0" fillId="2" borderId="0" xfId="0" applyFill="1" applyBorder="1" applyProtection="1"/>
    <xf numFmtId="0" fontId="0" fillId="0" borderId="0" xfId="0" applyAlignment="1">
      <alignment vertical="center"/>
    </xf>
    <xf numFmtId="0" fontId="0" fillId="0" borderId="0" xfId="0" applyBorder="1" applyAlignment="1">
      <alignment vertical="center"/>
    </xf>
    <xf numFmtId="0" fontId="0" fillId="2" borderId="0" xfId="0" applyFill="1" applyAlignment="1" applyProtection="1">
      <alignment horizontal="left"/>
    </xf>
    <xf numFmtId="0" fontId="9" fillId="2" borderId="0" xfId="0" applyFont="1" applyFill="1" applyAlignment="1" applyProtection="1">
      <alignment horizontal="left"/>
    </xf>
    <xf numFmtId="0" fontId="0" fillId="2" borderId="18" xfId="0" applyFill="1" applyBorder="1" applyAlignment="1" applyProtection="1">
      <alignment wrapText="1"/>
    </xf>
    <xf numFmtId="0" fontId="0" fillId="2" borderId="19" xfId="0" applyFill="1" applyBorder="1" applyAlignment="1" applyProtection="1">
      <alignment horizontal="center" wrapText="1"/>
    </xf>
    <xf numFmtId="0" fontId="0" fillId="2" borderId="11" xfId="0" applyFill="1" applyBorder="1" applyProtection="1"/>
    <xf numFmtId="2" fontId="0" fillId="6" borderId="13" xfId="0" applyNumberFormat="1" applyFill="1" applyBorder="1" applyAlignment="1" applyProtection="1">
      <alignment horizontal="center" vertical="center"/>
    </xf>
    <xf numFmtId="170" fontId="0" fillId="7" borderId="1" xfId="0" applyNumberFormat="1" applyFill="1" applyBorder="1" applyAlignment="1" applyProtection="1">
      <alignment horizontal="center" vertical="center" wrapText="1"/>
    </xf>
    <xf numFmtId="0" fontId="9" fillId="2" borderId="6" xfId="0" applyFont="1" applyFill="1" applyBorder="1" applyAlignment="1" applyProtection="1">
      <alignment horizontal="center"/>
    </xf>
    <xf numFmtId="0" fontId="0" fillId="2" borderId="6" xfId="0" applyFill="1" applyBorder="1" applyAlignment="1" applyProtection="1">
      <alignment wrapText="1"/>
    </xf>
    <xf numFmtId="0" fontId="0" fillId="8" borderId="0" xfId="0" applyFill="1" applyAlignment="1" applyProtection="1"/>
    <xf numFmtId="0" fontId="0" fillId="5" borderId="0" xfId="0" applyFill="1" applyAlignment="1" applyProtection="1">
      <alignment horizontal="left"/>
    </xf>
    <xf numFmtId="0" fontId="0" fillId="5" borderId="0" xfId="0" applyFill="1" applyProtection="1"/>
    <xf numFmtId="0" fontId="0" fillId="5" borderId="0" xfId="0" applyFill="1" applyBorder="1" applyProtection="1"/>
    <xf numFmtId="0" fontId="0" fillId="0" borderId="0" xfId="0" applyFill="1" applyProtection="1"/>
    <xf numFmtId="0" fontId="8" fillId="5" borderId="0" xfId="0" applyFont="1" applyFill="1" applyBorder="1" applyAlignment="1" applyProtection="1">
      <alignment horizontal="center" vertical="center"/>
    </xf>
    <xf numFmtId="0" fontId="0" fillId="5" borderId="0" xfId="0" applyFill="1" applyAlignment="1">
      <alignment horizontal="center" vertical="center"/>
    </xf>
    <xf numFmtId="164" fontId="0" fillId="5" borderId="0" xfId="0" applyNumberFormat="1" applyFill="1" applyBorder="1" applyAlignment="1" applyProtection="1">
      <alignment horizontal="center" vertical="center"/>
    </xf>
    <xf numFmtId="2" fontId="0" fillId="5" borderId="0" xfId="0" applyNumberFormat="1" applyFill="1" applyProtection="1"/>
    <xf numFmtId="10" fontId="0" fillId="5" borderId="0" xfId="0" applyNumberFormat="1" applyFill="1" applyProtection="1"/>
    <xf numFmtId="0" fontId="0" fillId="0" borderId="0" xfId="0" applyFill="1"/>
    <xf numFmtId="0" fontId="9" fillId="0" borderId="0" xfId="0" applyFont="1" applyProtection="1"/>
    <xf numFmtId="0" fontId="4" fillId="0" borderId="0" xfId="0" applyFont="1" applyProtection="1"/>
    <xf numFmtId="0" fontId="14" fillId="0" borderId="0" xfId="0" applyFont="1" applyProtection="1"/>
    <xf numFmtId="0" fontId="7" fillId="0" borderId="0" xfId="0" applyFont="1" applyFill="1" applyBorder="1" applyAlignment="1"/>
    <xf numFmtId="0" fontId="8" fillId="0" borderId="0" xfId="0" applyFont="1" applyFill="1" applyBorder="1" applyAlignment="1">
      <alignment horizontal="center"/>
    </xf>
    <xf numFmtId="10" fontId="0" fillId="2" borderId="0" xfId="0" applyNumberFormat="1" applyFill="1" applyProtection="1"/>
    <xf numFmtId="0" fontId="9" fillId="2" borderId="6" xfId="0" applyFont="1" applyFill="1" applyBorder="1" applyAlignment="1" applyProtection="1"/>
    <xf numFmtId="0" fontId="0" fillId="2" borderId="6" xfId="0" applyFill="1" applyBorder="1" applyAlignment="1" applyProtection="1"/>
    <xf numFmtId="0" fontId="9" fillId="2" borderId="6" xfId="0" applyFont="1" applyFill="1" applyBorder="1" applyProtection="1"/>
    <xf numFmtId="0" fontId="0" fillId="2" borderId="6" xfId="0" applyFill="1" applyBorder="1" applyProtection="1"/>
    <xf numFmtId="0" fontId="0" fillId="2" borderId="5" xfId="0" applyFill="1" applyBorder="1" applyProtection="1"/>
    <xf numFmtId="165" fontId="0" fillId="2" borderId="0" xfId="0" applyNumberFormat="1" applyFill="1" applyAlignment="1" applyProtection="1"/>
    <xf numFmtId="0" fontId="5" fillId="2" borderId="11" xfId="0" applyNumberFormat="1" applyFont="1" applyFill="1" applyBorder="1" applyProtection="1"/>
    <xf numFmtId="0" fontId="0" fillId="2" borderId="11" xfId="0" applyFill="1" applyBorder="1" applyAlignment="1" applyProtection="1">
      <alignment horizontal="center"/>
    </xf>
    <xf numFmtId="2" fontId="0" fillId="0" borderId="22" xfId="0" applyNumberFormat="1" applyFill="1" applyBorder="1" applyAlignment="1" applyProtection="1">
      <alignment horizontal="center" vertical="center"/>
    </xf>
    <xf numFmtId="2" fontId="0" fillId="0" borderId="23" xfId="0" applyNumberFormat="1" applyFill="1" applyBorder="1" applyAlignment="1" applyProtection="1">
      <alignment horizontal="center" vertical="center"/>
    </xf>
    <xf numFmtId="2" fontId="0" fillId="0" borderId="24" xfId="0" applyNumberFormat="1" applyFill="1" applyBorder="1" applyAlignment="1" applyProtection="1">
      <alignment horizontal="center" vertical="center"/>
    </xf>
    <xf numFmtId="0" fontId="17" fillId="2" borderId="0" xfId="0" applyFont="1" applyFill="1" applyProtection="1"/>
    <xf numFmtId="0" fontId="9" fillId="2" borderId="0" xfId="0" applyFont="1" applyFill="1" applyBorder="1" applyProtection="1"/>
    <xf numFmtId="0" fontId="17" fillId="2" borderId="0" xfId="0" applyFont="1" applyFill="1" applyAlignment="1" applyProtection="1"/>
    <xf numFmtId="0" fontId="17" fillId="2" borderId="0" xfId="0" applyFont="1" applyFill="1" applyAlignment="1" applyProtection="1">
      <alignment horizontal="right"/>
    </xf>
    <xf numFmtId="0" fontId="17" fillId="2" borderId="0" xfId="0" applyFont="1" applyFill="1" applyAlignment="1" applyProtection="1">
      <alignment horizontal="center"/>
    </xf>
    <xf numFmtId="0" fontId="5" fillId="0" borderId="0" xfId="0" applyFont="1"/>
    <xf numFmtId="0" fontId="0" fillId="9" borderId="0" xfId="0" applyFill="1" applyProtection="1"/>
    <xf numFmtId="164" fontId="0" fillId="9" borderId="0" xfId="0" applyNumberFormat="1" applyFill="1" applyProtection="1"/>
    <xf numFmtId="0" fontId="0" fillId="9" borderId="0" xfId="0" applyFill="1" applyAlignment="1" applyProtection="1">
      <alignment horizontal="right" wrapText="1"/>
    </xf>
    <xf numFmtId="2" fontId="9" fillId="0" borderId="0" xfId="0" applyNumberFormat="1" applyFont="1" applyFill="1" applyBorder="1" applyAlignment="1" applyProtection="1">
      <alignment horizontal="center" vertical="center"/>
    </xf>
    <xf numFmtId="0" fontId="0" fillId="10" borderId="0" xfId="0" applyFill="1"/>
    <xf numFmtId="0" fontId="2" fillId="2" borderId="0" xfId="0" applyFont="1" applyFill="1" applyProtection="1"/>
    <xf numFmtId="0" fontId="4" fillId="2" borderId="0" xfId="0" applyFont="1" applyFill="1" applyAlignment="1" applyProtection="1"/>
    <xf numFmtId="0" fontId="2" fillId="2" borderId="0" xfId="0" applyFont="1" applyFill="1" applyAlignment="1" applyProtection="1"/>
    <xf numFmtId="0" fontId="0" fillId="2" borderId="0" xfId="0" applyFill="1" applyAlignment="1" applyProtection="1">
      <alignment wrapText="1"/>
    </xf>
    <xf numFmtId="0" fontId="23" fillId="2" borderId="0" xfId="0" applyFont="1" applyFill="1" applyAlignment="1" applyProtection="1"/>
    <xf numFmtId="0" fontId="0" fillId="2" borderId="31" xfId="0" applyFill="1" applyBorder="1" applyProtection="1"/>
    <xf numFmtId="0" fontId="9" fillId="2" borderId="6" xfId="0" applyFont="1" applyFill="1" applyBorder="1" applyAlignment="1" applyProtection="1">
      <alignment horizontal="left"/>
    </xf>
    <xf numFmtId="0" fontId="16" fillId="2" borderId="0" xfId="0" applyFont="1" applyFill="1" applyAlignment="1" applyProtection="1">
      <alignment horizontal="right"/>
    </xf>
    <xf numFmtId="0" fontId="2" fillId="0" borderId="0" xfId="0" applyFont="1" applyProtection="1"/>
    <xf numFmtId="164" fontId="0" fillId="2" borderId="0" xfId="0" applyNumberFormat="1" applyFill="1" applyAlignment="1" applyProtection="1">
      <alignment horizontal="center"/>
    </xf>
    <xf numFmtId="164" fontId="0" fillId="2" borderId="0" xfId="0" applyNumberFormat="1" applyFill="1" applyAlignment="1" applyProtection="1">
      <alignment horizontal="right" indent="1"/>
    </xf>
    <xf numFmtId="0" fontId="24" fillId="2" borderId="0" xfId="0" applyFont="1" applyFill="1" applyAlignment="1" applyProtection="1"/>
    <xf numFmtId="0" fontId="0" fillId="0" borderId="0" xfId="0" applyBorder="1" applyAlignment="1" applyProtection="1">
      <alignment horizontal="center"/>
    </xf>
    <xf numFmtId="0" fontId="0" fillId="10" borderId="0" xfId="0" applyFill="1" applyBorder="1"/>
    <xf numFmtId="0" fontId="2" fillId="0" borderId="0" xfId="0" applyNumberFormat="1" applyFont="1" applyProtection="1"/>
    <xf numFmtId="0" fontId="29" fillId="0" borderId="0" xfId="0" applyFont="1" applyAlignment="1" applyProtection="1">
      <alignment horizontal="center"/>
    </xf>
    <xf numFmtId="0" fontId="23" fillId="0" borderId="0" xfId="0" applyFont="1" applyProtection="1"/>
    <xf numFmtId="0" fontId="28" fillId="0" borderId="31" xfId="0" applyFont="1" applyBorder="1" applyAlignment="1" applyProtection="1">
      <alignment horizontal="center" wrapText="1"/>
    </xf>
    <xf numFmtId="0" fontId="0" fillId="0" borderId="35" xfId="0" applyBorder="1" applyProtection="1"/>
    <xf numFmtId="0" fontId="9" fillId="0" borderId="0" xfId="0" applyFont="1" applyAlignment="1" applyProtection="1">
      <alignment horizontal="centerContinuous"/>
    </xf>
    <xf numFmtId="0" fontId="0" fillId="5" borderId="3" xfId="0" applyFill="1" applyBorder="1" applyAlignment="1" applyProtection="1">
      <alignment horizontal="center" vertical="center" wrapText="1"/>
    </xf>
    <xf numFmtId="0" fontId="0" fillId="5" borderId="4" xfId="0" applyFill="1" applyBorder="1" applyAlignment="1">
      <alignment wrapText="1"/>
    </xf>
    <xf numFmtId="0" fontId="26" fillId="0" borderId="0" xfId="0" applyFont="1" applyFill="1" applyAlignment="1" applyProtection="1">
      <alignment horizontal="center"/>
    </xf>
    <xf numFmtId="0" fontId="26" fillId="0" borderId="3" xfId="0" applyFont="1" applyFill="1" applyBorder="1" applyAlignment="1" applyProtection="1">
      <alignment horizontal="center"/>
    </xf>
    <xf numFmtId="0" fontId="30" fillId="10" borderId="0" xfId="0" applyFont="1" applyFill="1" applyAlignment="1" applyProtection="1">
      <alignment horizontal="right" indent="1"/>
    </xf>
    <xf numFmtId="0" fontId="26" fillId="2" borderId="0" xfId="0" applyFont="1" applyFill="1" applyAlignment="1" applyProtection="1"/>
    <xf numFmtId="0" fontId="30" fillId="2" borderId="0" xfId="0" applyFont="1" applyFill="1" applyAlignment="1" applyProtection="1">
      <alignment horizontal="right" indent="1"/>
    </xf>
    <xf numFmtId="0" fontId="30" fillId="2" borderId="36" xfId="0" applyFont="1" applyFill="1" applyBorder="1" applyAlignment="1" applyProtection="1">
      <alignment horizontal="right" wrapText="1" indent="1"/>
    </xf>
    <xf numFmtId="0" fontId="0" fillId="5" borderId="4" xfId="0" applyFill="1" applyBorder="1" applyAlignment="1" applyProtection="1">
      <alignment wrapText="1"/>
    </xf>
    <xf numFmtId="0" fontId="0" fillId="2" borderId="6" xfId="0" applyFill="1" applyBorder="1" applyAlignment="1" applyProtection="1">
      <alignment horizontal="center" wrapText="1"/>
    </xf>
    <xf numFmtId="0" fontId="2" fillId="2" borderId="6" xfId="0" applyFont="1" applyFill="1" applyBorder="1" applyAlignment="1" applyProtection="1">
      <alignment horizontal="right"/>
    </xf>
    <xf numFmtId="0" fontId="0" fillId="2" borderId="0" xfId="0" applyFill="1" applyAlignment="1" applyProtection="1">
      <alignment horizontal="right" indent="1"/>
    </xf>
    <xf numFmtId="0" fontId="26" fillId="0" borderId="0" xfId="0" applyFont="1" applyAlignment="1" applyProtection="1">
      <alignment horizontal="center"/>
    </xf>
    <xf numFmtId="0" fontId="26" fillId="0" borderId="35" xfId="0" applyFont="1" applyBorder="1" applyAlignment="1" applyProtection="1">
      <alignment horizontal="center"/>
    </xf>
    <xf numFmtId="0" fontId="0" fillId="5" borderId="4" xfId="0" applyFill="1" applyBorder="1" applyAlignment="1">
      <alignment wrapText="1"/>
    </xf>
    <xf numFmtId="0" fontId="2" fillId="5" borderId="3" xfId="0" applyFont="1" applyFill="1" applyBorder="1" applyAlignment="1">
      <alignment horizontal="center" vertical="center" wrapText="1"/>
    </xf>
    <xf numFmtId="0" fontId="2" fillId="5" borderId="1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9" fillId="0" borderId="0" xfId="0" applyFont="1"/>
    <xf numFmtId="0" fontId="23" fillId="0" borderId="0" xfId="0" applyFont="1"/>
    <xf numFmtId="0" fontId="2" fillId="13" borderId="0" xfId="0" applyFont="1" applyFill="1" applyBorder="1"/>
    <xf numFmtId="0" fontId="2" fillId="2" borderId="0" xfId="0" applyFont="1" applyFill="1" applyAlignment="1" applyProtection="1">
      <alignment horizontal="left"/>
    </xf>
    <xf numFmtId="0" fontId="0" fillId="12" borderId="0" xfId="0" applyFill="1" applyAlignment="1" applyProtection="1">
      <alignment horizontal="right" vertical="center"/>
    </xf>
    <xf numFmtId="164" fontId="0" fillId="12" borderId="0" xfId="0" applyNumberFormat="1" applyFill="1" applyAlignment="1" applyProtection="1">
      <alignment vertical="center" wrapText="1"/>
    </xf>
    <xf numFmtId="0" fontId="0" fillId="12" borderId="0" xfId="0" applyFill="1" applyAlignment="1" applyProtection="1">
      <alignment horizontal="center" vertical="center" wrapText="1"/>
    </xf>
    <xf numFmtId="0" fontId="0" fillId="12" borderId="0" xfId="0" applyFill="1" applyAlignment="1" applyProtection="1">
      <alignment horizontal="right"/>
    </xf>
    <xf numFmtId="0" fontId="5" fillId="12" borderId="0" xfId="0" applyFont="1" applyFill="1" applyAlignment="1" applyProtection="1">
      <alignment horizontal="right"/>
    </xf>
    <xf numFmtId="0" fontId="2" fillId="12" borderId="0" xfId="0" applyFont="1" applyFill="1" applyAlignment="1" applyProtection="1">
      <alignment horizontal="right"/>
    </xf>
    <xf numFmtId="164" fontId="0" fillId="12" borderId="0" xfId="0" applyNumberFormat="1" applyFill="1" applyAlignment="1" applyProtection="1">
      <alignment horizontal="center" vertical="center"/>
    </xf>
    <xf numFmtId="0" fontId="0" fillId="12" borderId="0" xfId="0" applyFill="1" applyAlignment="1" applyProtection="1">
      <alignment horizontal="right" wrapText="1"/>
    </xf>
    <xf numFmtId="164" fontId="0" fillId="12" borderId="0" xfId="0" applyNumberFormat="1" applyFill="1" applyProtection="1"/>
    <xf numFmtId="0" fontId="2" fillId="9" borderId="0" xfId="0" applyFont="1" applyFill="1" applyProtection="1"/>
    <xf numFmtId="0" fontId="32" fillId="9" borderId="0" xfId="0" applyFont="1" applyFill="1" applyProtection="1"/>
    <xf numFmtId="0" fontId="2" fillId="14" borderId="0" xfId="0" applyFont="1" applyFill="1" applyBorder="1"/>
    <xf numFmtId="0" fontId="3" fillId="0" borderId="31" xfId="0" applyFont="1" applyBorder="1" applyAlignment="1" applyProtection="1">
      <alignment horizontal="center" wrapText="1"/>
    </xf>
    <xf numFmtId="0" fontId="3" fillId="0" borderId="32" xfId="0" applyFont="1" applyBorder="1" applyAlignment="1" applyProtection="1">
      <alignment horizontal="center" wrapText="1"/>
    </xf>
    <xf numFmtId="0" fontId="3" fillId="0" borderId="34" xfId="0" applyFont="1" applyBorder="1" applyAlignment="1" applyProtection="1">
      <alignment horizontal="center" wrapText="1"/>
    </xf>
    <xf numFmtId="0" fontId="0" fillId="0" borderId="41" xfId="0" applyBorder="1" applyProtection="1"/>
    <xf numFmtId="0" fontId="0" fillId="0" borderId="38" xfId="0" applyBorder="1" applyProtection="1"/>
    <xf numFmtId="170" fontId="0" fillId="9" borderId="1" xfId="0" applyNumberFormat="1" applyFill="1" applyBorder="1" applyAlignment="1" applyProtection="1">
      <alignment horizontal="center" vertical="center" wrapText="1"/>
    </xf>
    <xf numFmtId="0" fontId="0" fillId="2" borderId="43" xfId="0" applyFill="1" applyBorder="1" applyProtection="1"/>
    <xf numFmtId="0" fontId="0" fillId="2" borderId="0" xfId="0" applyFill="1" applyBorder="1" applyAlignment="1" applyProtection="1">
      <alignment horizontal="center"/>
    </xf>
    <xf numFmtId="2" fontId="26"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2" fillId="0" borderId="39" xfId="0" applyFont="1" applyBorder="1" applyAlignment="1" applyProtection="1">
      <alignment horizontal="center"/>
    </xf>
    <xf numFmtId="0" fontId="31" fillId="10" borderId="0" xfId="0" applyFont="1" applyFill="1" applyAlignment="1" applyProtection="1">
      <alignment horizontal="center" wrapText="1"/>
    </xf>
    <xf numFmtId="1" fontId="2" fillId="0" borderId="13" xfId="0" quotePrefix="1" applyNumberFormat="1" applyFont="1" applyBorder="1" applyAlignment="1" applyProtection="1">
      <alignment horizontal="center" vertical="center"/>
    </xf>
    <xf numFmtId="0" fontId="23" fillId="2" borderId="0" xfId="0" applyFont="1" applyFill="1" applyProtection="1"/>
    <xf numFmtId="2" fontId="3" fillId="0" borderId="0" xfId="0" applyNumberFormat="1" applyFont="1" applyFill="1" applyBorder="1" applyAlignment="1" applyProtection="1">
      <alignment horizontal="center" vertical="center" wrapText="1"/>
    </xf>
    <xf numFmtId="179" fontId="0" fillId="6" borderId="17" xfId="0" applyNumberFormat="1" applyFill="1" applyBorder="1" applyAlignment="1" applyProtection="1">
      <alignment horizontal="center" vertical="center"/>
    </xf>
    <xf numFmtId="179" fontId="0" fillId="6" borderId="14" xfId="0" applyNumberFormat="1" applyFill="1" applyBorder="1" applyAlignment="1" applyProtection="1">
      <alignment horizontal="center" vertical="center"/>
    </xf>
    <xf numFmtId="179" fontId="0" fillId="6" borderId="37" xfId="0" applyNumberFormat="1" applyFill="1" applyBorder="1" applyAlignment="1" applyProtection="1">
      <alignment horizontal="center" vertical="center"/>
    </xf>
    <xf numFmtId="0" fontId="0" fillId="2" borderId="18" xfId="0" applyFill="1" applyBorder="1" applyAlignment="1" applyProtection="1">
      <alignment horizontal="center" wrapText="1"/>
    </xf>
    <xf numFmtId="169" fontId="0" fillId="2" borderId="25" xfId="0" applyNumberFormat="1" applyFill="1" applyBorder="1" applyAlignment="1" applyProtection="1">
      <alignment horizontal="center"/>
    </xf>
    <xf numFmtId="0" fontId="0" fillId="0" borderId="13" xfId="0" applyBorder="1" applyAlignment="1" applyProtection="1">
      <alignment horizontal="center"/>
    </xf>
    <xf numFmtId="176" fontId="0" fillId="0" borderId="0" xfId="9" applyNumberFormat="1" applyFont="1"/>
    <xf numFmtId="0" fontId="24" fillId="0" borderId="1" xfId="0" applyFont="1" applyBorder="1" applyProtection="1"/>
    <xf numFmtId="0" fontId="23" fillId="2" borderId="0" xfId="0" applyFont="1" applyFill="1" applyAlignment="1" applyProtection="1">
      <alignment horizontal="center"/>
    </xf>
    <xf numFmtId="0" fontId="2" fillId="0" borderId="0" xfId="0" applyFont="1"/>
    <xf numFmtId="170" fontId="2" fillId="3" borderId="1" xfId="0" applyNumberFormat="1" applyFont="1" applyFill="1" applyBorder="1" applyAlignment="1" applyProtection="1">
      <alignment horizontal="center" vertical="center" wrapText="1"/>
    </xf>
    <xf numFmtId="170" fontId="2" fillId="3" borderId="37" xfId="0" applyNumberFormat="1" applyFont="1" applyFill="1" applyBorder="1" applyAlignment="1" applyProtection="1">
      <alignment horizontal="center" vertical="center" wrapText="1"/>
    </xf>
    <xf numFmtId="170" fontId="2" fillId="3" borderId="13" xfId="0" applyNumberFormat="1" applyFont="1" applyFill="1" applyBorder="1" applyAlignment="1" applyProtection="1">
      <alignment horizontal="center" vertical="center" wrapText="1"/>
    </xf>
    <xf numFmtId="10" fontId="2" fillId="3" borderId="13" xfId="0" applyNumberFormat="1" applyFont="1" applyFill="1" applyBorder="1" applyAlignment="1" applyProtection="1">
      <alignment horizontal="center" vertical="center"/>
    </xf>
    <xf numFmtId="10" fontId="2" fillId="3" borderId="37" xfId="0" applyNumberFormat="1" applyFont="1" applyFill="1" applyBorder="1" applyAlignment="1" applyProtection="1">
      <alignment horizontal="center" vertical="center"/>
    </xf>
    <xf numFmtId="0" fontId="23" fillId="0" borderId="0" xfId="0" applyFont="1" applyAlignment="1" applyProtection="1">
      <alignment vertical="top"/>
    </xf>
    <xf numFmtId="0" fontId="2" fillId="10" borderId="0" xfId="0" applyFont="1" applyFill="1" applyProtection="1"/>
    <xf numFmtId="0" fontId="35" fillId="2" borderId="0" xfId="0" applyFont="1" applyFill="1" applyBorder="1" applyProtection="1"/>
    <xf numFmtId="0" fontId="35" fillId="2" borderId="0" xfId="0" applyFont="1" applyFill="1" applyProtection="1"/>
    <xf numFmtId="0" fontId="30" fillId="0" borderId="0" xfId="0" applyFont="1" applyAlignment="1" applyProtection="1">
      <alignment horizontal="center"/>
    </xf>
    <xf numFmtId="169" fontId="0" fillId="11" borderId="13" xfId="0" applyNumberFormat="1" applyFill="1" applyBorder="1" applyAlignment="1" applyProtection="1">
      <alignment horizontal="center" vertical="center"/>
    </xf>
    <xf numFmtId="169" fontId="0" fillId="11" borderId="1" xfId="0" applyNumberFormat="1" applyFill="1" applyBorder="1" applyAlignment="1" applyProtection="1">
      <alignment horizontal="center" vertical="center"/>
    </xf>
    <xf numFmtId="164" fontId="0" fillId="0" borderId="0" xfId="0" applyNumberFormat="1" applyFill="1" applyAlignment="1" applyProtection="1">
      <alignment horizontal="center" vertical="center"/>
    </xf>
    <xf numFmtId="0" fontId="23" fillId="0" borderId="0" xfId="0" applyFont="1" applyAlignment="1" applyProtection="1">
      <alignment horizontal="left"/>
    </xf>
    <xf numFmtId="0" fontId="34" fillId="0" borderId="0" xfId="0" applyFont="1" applyBorder="1" applyProtection="1"/>
    <xf numFmtId="2" fontId="3" fillId="0" borderId="22" xfId="0" applyNumberFormat="1" applyFont="1" applyFill="1" applyBorder="1" applyAlignment="1" applyProtection="1">
      <alignment horizontal="center" vertical="center" wrapText="1"/>
    </xf>
    <xf numFmtId="0" fontId="26" fillId="2" borderId="0" xfId="0" applyFont="1" applyFill="1" applyAlignment="1" applyProtection="1">
      <alignment wrapText="1"/>
    </xf>
    <xf numFmtId="0" fontId="26" fillId="0" borderId="0" xfId="0" applyFont="1" applyProtection="1"/>
    <xf numFmtId="0" fontId="25" fillId="0" borderId="0" xfId="0" applyFont="1" applyAlignment="1" applyProtection="1">
      <alignment horizontal="center"/>
    </xf>
    <xf numFmtId="0" fontId="0" fillId="0" borderId="0" xfId="0"/>
    <xf numFmtId="0" fontId="0" fillId="15" borderId="0" xfId="0" applyFill="1" applyProtection="1"/>
    <xf numFmtId="0" fontId="0" fillId="15" borderId="0" xfId="0" applyFill="1" applyAlignment="1" applyProtection="1">
      <alignment horizontal="left"/>
    </xf>
    <xf numFmtId="0" fontId="23" fillId="15" borderId="0" xfId="0" applyFont="1" applyFill="1" applyProtection="1"/>
    <xf numFmtId="0" fontId="36" fillId="0" borderId="0" xfId="0" applyFont="1" applyAlignment="1">
      <alignment vertical="center"/>
    </xf>
    <xf numFmtId="0" fontId="3" fillId="0" borderId="0" xfId="0" applyFont="1"/>
    <xf numFmtId="0" fontId="20" fillId="0" borderId="0" xfId="0" applyFont="1"/>
    <xf numFmtId="0" fontId="20" fillId="0" borderId="45" xfId="0" applyFont="1" applyBorder="1"/>
    <xf numFmtId="0" fontId="20" fillId="0" borderId="36" xfId="0" applyFont="1" applyBorder="1"/>
    <xf numFmtId="0" fontId="20" fillId="0" borderId="0" xfId="0" applyFont="1" applyBorder="1"/>
    <xf numFmtId="0" fontId="20" fillId="0" borderId="35" xfId="0" applyFont="1" applyBorder="1"/>
    <xf numFmtId="0" fontId="20" fillId="0" borderId="16" xfId="0" applyFont="1" applyBorder="1"/>
    <xf numFmtId="0" fontId="20" fillId="0" borderId="33" xfId="0" applyFont="1" applyBorder="1"/>
    <xf numFmtId="0" fontId="20" fillId="0" borderId="39" xfId="0" applyFont="1" applyBorder="1"/>
    <xf numFmtId="0" fontId="20" fillId="0" borderId="9" xfId="0" applyFont="1" applyBorder="1"/>
    <xf numFmtId="0" fontId="37" fillId="0" borderId="16" xfId="0" applyFont="1" applyFill="1" applyBorder="1" applyAlignment="1">
      <alignment horizontal="right"/>
    </xf>
    <xf numFmtId="0" fontId="20" fillId="0" borderId="46" xfId="0" applyFont="1" applyBorder="1"/>
    <xf numFmtId="0" fontId="20" fillId="0" borderId="7" xfId="0" applyFont="1" applyBorder="1"/>
    <xf numFmtId="0" fontId="0" fillId="0" borderId="47" xfId="0" applyBorder="1"/>
    <xf numFmtId="0" fontId="0" fillId="0" borderId="24" xfId="0" applyBorder="1"/>
    <xf numFmtId="0" fontId="28" fillId="0" borderId="48" xfId="0" applyFont="1" applyBorder="1" applyAlignment="1">
      <alignment horizontal="center"/>
    </xf>
    <xf numFmtId="0" fontId="28" fillId="0" borderId="49" xfId="0" applyFont="1" applyBorder="1" applyAlignment="1">
      <alignment horizontal="center"/>
    </xf>
    <xf numFmtId="0" fontId="25" fillId="0" borderId="50" xfId="0" applyFont="1" applyBorder="1" applyAlignment="1">
      <alignment horizontal="right" indent="1"/>
    </xf>
    <xf numFmtId="0" fontId="25" fillId="0" borderId="0" xfId="0" applyFont="1" applyBorder="1" applyAlignment="1">
      <alignment horizontal="right" indent="1"/>
    </xf>
    <xf numFmtId="0" fontId="0" fillId="13" borderId="0" xfId="0" applyNumberFormat="1" applyFill="1" applyBorder="1" applyAlignment="1">
      <alignment horizontal="right" indent="1"/>
    </xf>
    <xf numFmtId="0" fontId="0" fillId="13" borderId="51" xfId="0" applyFill="1" applyBorder="1"/>
    <xf numFmtId="0" fontId="9" fillId="13" borderId="51" xfId="0" applyFont="1" applyFill="1" applyBorder="1"/>
    <xf numFmtId="0" fontId="25" fillId="0" borderId="52" xfId="0" applyFont="1" applyBorder="1" applyAlignment="1">
      <alignment horizontal="right" indent="1"/>
    </xf>
    <xf numFmtId="0" fontId="25" fillId="0" borderId="53" xfId="0" applyFont="1" applyBorder="1" applyAlignment="1">
      <alignment horizontal="right" indent="1"/>
    </xf>
    <xf numFmtId="0" fontId="0" fillId="13" borderId="53" xfId="0" applyFill="1" applyBorder="1" applyAlignment="1">
      <alignment horizontal="left"/>
    </xf>
    <xf numFmtId="0" fontId="0" fillId="13" borderId="53" xfId="0" applyNumberFormat="1" applyFill="1" applyBorder="1" applyAlignment="1">
      <alignment horizontal="right" indent="1"/>
    </xf>
    <xf numFmtId="0" fontId="0" fillId="13" borderId="54" xfId="0" applyFill="1" applyBorder="1"/>
    <xf numFmtId="0" fontId="0" fillId="0" borderId="0" xfId="0" applyAlignment="1" applyProtection="1">
      <alignment wrapText="1"/>
    </xf>
    <xf numFmtId="0" fontId="34" fillId="0" borderId="0" xfId="0" applyFont="1" applyBorder="1" applyAlignment="1" applyProtection="1">
      <alignment wrapText="1"/>
    </xf>
    <xf numFmtId="2" fontId="0" fillId="0" borderId="0" xfId="0" applyNumberFormat="1" applyBorder="1" applyAlignment="1" applyProtection="1">
      <alignment wrapText="1"/>
    </xf>
    <xf numFmtId="2" fontId="0" fillId="0" borderId="0" xfId="0" applyNumberFormat="1" applyAlignment="1" applyProtection="1">
      <alignment wrapText="1"/>
    </xf>
    <xf numFmtId="2" fontId="0" fillId="5" borderId="0" xfId="0" applyNumberFormat="1" applyFill="1" applyAlignment="1" applyProtection="1">
      <alignment wrapText="1"/>
    </xf>
    <xf numFmtId="0" fontId="25" fillId="0" borderId="16" xfId="0" applyFont="1" applyFill="1" applyBorder="1" applyAlignment="1">
      <alignment horizontal="right" indent="1"/>
    </xf>
    <xf numFmtId="0" fontId="0" fillId="0" borderId="35" xfId="0" applyBorder="1"/>
    <xf numFmtId="0" fontId="25" fillId="0" borderId="9" xfId="0" applyFont="1" applyFill="1" applyBorder="1" applyAlignment="1">
      <alignment horizontal="right" indent="1"/>
    </xf>
    <xf numFmtId="0" fontId="0" fillId="0" borderId="6" xfId="0" applyBorder="1"/>
    <xf numFmtId="0" fontId="0" fillId="0" borderId="7" xfId="0" applyBorder="1"/>
    <xf numFmtId="0" fontId="0" fillId="0" borderId="59" xfId="0" applyBorder="1"/>
    <xf numFmtId="0" fontId="0" fillId="0" borderId="60" xfId="0" applyBorder="1"/>
    <xf numFmtId="0" fontId="0" fillId="0" borderId="61" xfId="0" applyBorder="1"/>
    <xf numFmtId="0" fontId="0" fillId="0" borderId="0" xfId="0" applyAlignment="1" applyProtection="1">
      <alignment wrapText="1"/>
    </xf>
    <xf numFmtId="0" fontId="3" fillId="0" borderId="0" xfId="0" applyFont="1" applyBorder="1"/>
    <xf numFmtId="0" fontId="3" fillId="0" borderId="35" xfId="0" applyFont="1" applyBorder="1"/>
    <xf numFmtId="0" fontId="0" fillId="0" borderId="65" xfId="0" applyBorder="1"/>
    <xf numFmtId="0" fontId="0" fillId="0" borderId="63" xfId="0" applyBorder="1"/>
    <xf numFmtId="0" fontId="3" fillId="0" borderId="60" xfId="0" applyFont="1" applyBorder="1"/>
    <xf numFmtId="0" fontId="3" fillId="0" borderId="61" xfId="0" applyFont="1" applyBorder="1"/>
    <xf numFmtId="0" fontId="3" fillId="0" borderId="43" xfId="0" applyFont="1" applyBorder="1"/>
    <xf numFmtId="0" fontId="3" fillId="0" borderId="3" xfId="0" applyFont="1" applyBorder="1"/>
    <xf numFmtId="0" fontId="3" fillId="0" borderId="64" xfId="0" applyFont="1" applyBorder="1"/>
    <xf numFmtId="0" fontId="0" fillId="2" borderId="0" xfId="0" applyFill="1" applyBorder="1" applyAlignment="1" applyProtection="1">
      <alignment horizontal="center" wrapText="1"/>
    </xf>
    <xf numFmtId="0" fontId="0" fillId="2" borderId="65" xfId="0" applyFill="1" applyBorder="1" applyAlignment="1" applyProtection="1">
      <alignment wrapText="1"/>
    </xf>
    <xf numFmtId="0" fontId="0" fillId="0" borderId="44" xfId="0" applyBorder="1" applyProtection="1"/>
    <xf numFmtId="0" fontId="3" fillId="0" borderId="68" xfId="0" applyFont="1" applyBorder="1" applyAlignment="1" applyProtection="1">
      <alignment horizontal="center" wrapText="1"/>
    </xf>
    <xf numFmtId="0" fontId="26" fillId="0" borderId="0" xfId="0" applyFont="1" applyBorder="1" applyAlignment="1" applyProtection="1">
      <alignment horizontal="center"/>
    </xf>
    <xf numFmtId="0" fontId="0" fillId="0" borderId="36" xfId="0" applyBorder="1" applyProtection="1"/>
    <xf numFmtId="0" fontId="3" fillId="0" borderId="69" xfId="0" applyFont="1" applyBorder="1" applyAlignment="1" applyProtection="1">
      <alignment horizontal="center" wrapText="1"/>
    </xf>
    <xf numFmtId="0" fontId="3" fillId="0" borderId="70" xfId="0" applyFont="1" applyBorder="1" applyAlignment="1" applyProtection="1">
      <alignment horizontal="center" wrapText="1"/>
    </xf>
    <xf numFmtId="0" fontId="39" fillId="10" borderId="0" xfId="0" applyFont="1" applyFill="1" applyProtection="1"/>
    <xf numFmtId="0" fontId="41" fillId="10" borderId="0" xfId="0" applyFont="1" applyFill="1" applyAlignment="1" applyProtection="1">
      <alignment vertical="center" wrapText="1"/>
    </xf>
    <xf numFmtId="0" fontId="1" fillId="10" borderId="0" xfId="0" applyFont="1" applyFill="1"/>
    <xf numFmtId="0" fontId="41" fillId="10" borderId="0" xfId="0" applyFont="1" applyFill="1" applyProtection="1"/>
    <xf numFmtId="0" fontId="0" fillId="10" borderId="0" xfId="0" applyFill="1" applyProtection="1"/>
    <xf numFmtId="0" fontId="0" fillId="16" borderId="0" xfId="0" applyFill="1" applyProtection="1"/>
    <xf numFmtId="0" fontId="0" fillId="16" borderId="0" xfId="0" applyFill="1" applyAlignment="1" applyProtection="1">
      <alignment horizontal="left"/>
    </xf>
    <xf numFmtId="0" fontId="0" fillId="16" borderId="0" xfId="0" applyFill="1" applyAlignment="1" applyProtection="1">
      <alignment wrapText="1"/>
    </xf>
    <xf numFmtId="0" fontId="0" fillId="16" borderId="0" xfId="0" applyFill="1" applyBorder="1" applyAlignment="1" applyProtection="1">
      <alignment wrapText="1"/>
    </xf>
    <xf numFmtId="0" fontId="0" fillId="16" borderId="0" xfId="0" applyFill="1" applyBorder="1" applyProtection="1"/>
    <xf numFmtId="0" fontId="0" fillId="16" borderId="0" xfId="0" applyFill="1" applyBorder="1" applyAlignment="1" applyProtection="1">
      <alignment horizontal="center" vertical="center"/>
    </xf>
    <xf numFmtId="0" fontId="0" fillId="16" borderId="2" xfId="0" applyFill="1" applyBorder="1" applyProtection="1"/>
    <xf numFmtId="164" fontId="0" fillId="16" borderId="0" xfId="0" applyNumberFormat="1" applyFill="1" applyBorder="1" applyAlignment="1" applyProtection="1">
      <alignment horizontal="center" vertical="center"/>
    </xf>
    <xf numFmtId="0" fontId="0" fillId="16" borderId="0" xfId="0" applyFill="1"/>
    <xf numFmtId="0" fontId="34" fillId="16" borderId="0" xfId="0" applyFont="1" applyFill="1" applyBorder="1" applyProtection="1"/>
    <xf numFmtId="164" fontId="0" fillId="10" borderId="0" xfId="0" applyNumberFormat="1" applyFill="1" applyBorder="1" applyAlignment="1" applyProtection="1">
      <alignment horizontal="center" vertical="center"/>
    </xf>
    <xf numFmtId="0" fontId="0" fillId="10" borderId="0" xfId="0" applyFill="1" applyAlignment="1" applyProtection="1">
      <alignment horizontal="left"/>
    </xf>
    <xf numFmtId="0" fontId="0" fillId="10" borderId="0" xfId="0" applyFill="1" applyAlignment="1" applyProtection="1">
      <alignment wrapText="1"/>
    </xf>
    <xf numFmtId="0" fontId="2" fillId="16" borderId="0" xfId="0" applyFont="1" applyFill="1"/>
    <xf numFmtId="0" fontId="0" fillId="16" borderId="0" xfId="0" applyFill="1" applyBorder="1"/>
    <xf numFmtId="0" fontId="0" fillId="16" borderId="0" xfId="0" applyFill="1" applyAlignment="1">
      <alignment vertical="center"/>
    </xf>
    <xf numFmtId="0" fontId="0" fillId="16" borderId="0" xfId="0" applyFill="1" applyBorder="1" applyAlignment="1">
      <alignment vertical="center"/>
    </xf>
    <xf numFmtId="0" fontId="0" fillId="16" borderId="0" xfId="0" applyFill="1" applyBorder="1" applyAlignment="1">
      <alignment wrapText="1"/>
    </xf>
    <xf numFmtId="0" fontId="0" fillId="16" borderId="0" xfId="0" applyFill="1" applyBorder="1" applyAlignment="1"/>
    <xf numFmtId="0" fontId="9" fillId="2" borderId="39" xfId="0" applyFont="1" applyFill="1" applyBorder="1" applyProtection="1"/>
    <xf numFmtId="0" fontId="9" fillId="2" borderId="39" xfId="0" applyFont="1" applyFill="1" applyBorder="1" applyAlignment="1" applyProtection="1">
      <alignment wrapText="1"/>
    </xf>
    <xf numFmtId="0" fontId="27" fillId="18" borderId="57" xfId="0" applyFont="1" applyFill="1" applyBorder="1" applyProtection="1"/>
    <xf numFmtId="0" fontId="27" fillId="18" borderId="5" xfId="0" applyFont="1" applyFill="1" applyBorder="1" applyAlignment="1" applyProtection="1">
      <alignment horizontal="left"/>
    </xf>
    <xf numFmtId="0" fontId="27" fillId="18" borderId="16" xfId="0" applyFont="1" applyFill="1" applyBorder="1" applyProtection="1"/>
    <xf numFmtId="0" fontId="27" fillId="18" borderId="0" xfId="0" applyFont="1" applyFill="1" applyBorder="1" applyAlignment="1" applyProtection="1">
      <alignment horizontal="left"/>
    </xf>
    <xf numFmtId="0" fontId="27" fillId="18" borderId="16" xfId="0" applyFont="1" applyFill="1" applyBorder="1" applyAlignment="1" applyProtection="1">
      <alignment horizontal="center" vertical="top" textRotation="90"/>
    </xf>
    <xf numFmtId="0" fontId="27" fillId="18" borderId="76" xfId="0" applyFont="1" applyFill="1" applyBorder="1" applyAlignment="1">
      <alignment horizontal="center" vertical="top" textRotation="90"/>
    </xf>
    <xf numFmtId="0" fontId="38" fillId="18" borderId="71" xfId="0" applyFont="1" applyFill="1" applyBorder="1" applyAlignment="1" applyProtection="1">
      <alignment horizontal="center"/>
    </xf>
    <xf numFmtId="0" fontId="0" fillId="19" borderId="0" xfId="0" applyFill="1" applyBorder="1" applyAlignment="1"/>
    <xf numFmtId="0" fontId="0" fillId="19" borderId="0" xfId="0" applyFill="1"/>
    <xf numFmtId="0" fontId="15" fillId="16" borderId="0" xfId="0" applyFont="1" applyFill="1" applyBorder="1" applyAlignment="1"/>
    <xf numFmtId="0" fontId="12" fillId="10" borderId="0" xfId="0" applyFont="1" applyFill="1" applyBorder="1"/>
    <xf numFmtId="0" fontId="0" fillId="10" borderId="0" xfId="0" applyFill="1" applyAlignment="1"/>
    <xf numFmtId="0" fontId="43" fillId="10" borderId="5" xfId="0" applyFont="1" applyFill="1" applyBorder="1"/>
    <xf numFmtId="0" fontId="44" fillId="10" borderId="5" xfId="0" applyFont="1" applyFill="1" applyBorder="1"/>
    <xf numFmtId="0" fontId="44" fillId="10" borderId="0" xfId="0" applyFont="1" applyFill="1"/>
    <xf numFmtId="0" fontId="43" fillId="10" borderId="0" xfId="0" applyFont="1" applyFill="1"/>
    <xf numFmtId="171" fontId="45" fillId="10" borderId="0" xfId="0" applyNumberFormat="1" applyFont="1" applyFill="1" applyAlignment="1">
      <alignment vertical="top"/>
    </xf>
    <xf numFmtId="171" fontId="44" fillId="10" borderId="0" xfId="0" applyNumberFormat="1" applyFont="1" applyFill="1" applyAlignment="1">
      <alignment vertical="top"/>
    </xf>
    <xf numFmtId="0" fontId="44" fillId="10" borderId="0" xfId="0" applyFont="1" applyFill="1" applyAlignment="1">
      <alignment vertical="top" wrapText="1"/>
    </xf>
    <xf numFmtId="171" fontId="43" fillId="10" borderId="0" xfId="0" applyNumberFormat="1" applyFont="1" applyFill="1" applyAlignment="1">
      <alignment vertical="top"/>
    </xf>
    <xf numFmtId="0" fontId="44" fillId="10" borderId="0" xfId="0" applyFont="1" applyFill="1" applyAlignment="1">
      <alignment horizontal="left" vertical="top" wrapText="1" indent="7"/>
    </xf>
    <xf numFmtId="0" fontId="44" fillId="10" borderId="0" xfId="0" applyFont="1" applyFill="1" applyAlignment="1">
      <alignment horizontal="left" vertical="top" wrapText="1"/>
    </xf>
    <xf numFmtId="0" fontId="43" fillId="10" borderId="0" xfId="0" applyFont="1" applyFill="1" applyAlignment="1">
      <alignment vertical="top" wrapText="1"/>
    </xf>
    <xf numFmtId="0" fontId="44" fillId="10" borderId="0" xfId="0" applyFont="1" applyFill="1" applyAlignment="1">
      <alignment vertical="top"/>
    </xf>
    <xf numFmtId="0" fontId="44" fillId="10" borderId="0" xfId="0" applyFont="1" applyFill="1" applyAlignment="1">
      <alignment horizontal="left" vertical="top" wrapText="1" indent="3"/>
    </xf>
    <xf numFmtId="0" fontId="44" fillId="10" borderId="0" xfId="0" applyFont="1" applyFill="1" applyAlignment="1">
      <alignment horizontal="left" vertical="top" wrapText="1" indent="2"/>
    </xf>
    <xf numFmtId="0" fontId="44" fillId="10" borderId="6" xfId="0" applyFont="1" applyFill="1" applyBorder="1"/>
    <xf numFmtId="0" fontId="44" fillId="10" borderId="0" xfId="0" applyFont="1" applyFill="1" applyAlignment="1">
      <alignment wrapText="1"/>
    </xf>
    <xf numFmtId="0" fontId="44" fillId="10" borderId="0" xfId="0" applyFont="1" applyFill="1" applyAlignment="1">
      <alignment vertical="center" wrapText="1"/>
    </xf>
    <xf numFmtId="49" fontId="44" fillId="20" borderId="0" xfId="0" applyNumberFormat="1" applyFont="1" applyFill="1"/>
    <xf numFmtId="0" fontId="44" fillId="20" borderId="0" xfId="0" applyFont="1" applyFill="1" applyAlignment="1">
      <alignment horizontal="right" vertical="top"/>
    </xf>
    <xf numFmtId="0" fontId="44" fillId="20" borderId="0" xfId="0" applyFont="1" applyFill="1" applyAlignment="1">
      <alignment vertical="top" wrapText="1"/>
    </xf>
    <xf numFmtId="0" fontId="44" fillId="20" borderId="0" xfId="0" applyFont="1" applyFill="1" applyAlignment="1">
      <alignment wrapText="1"/>
    </xf>
    <xf numFmtId="0" fontId="44" fillId="10" borderId="0" xfId="0" applyFont="1" applyFill="1" applyAlignment="1">
      <alignment horizontal="right" vertical="top"/>
    </xf>
    <xf numFmtId="0" fontId="44" fillId="10" borderId="0" xfId="0" applyFont="1" applyFill="1" applyBorder="1"/>
    <xf numFmtId="0" fontId="0" fillId="10" borderId="0" xfId="0" applyFill="1" applyAlignment="1">
      <alignment horizontal="left" vertical="center"/>
    </xf>
    <xf numFmtId="0" fontId="44" fillId="10" borderId="0" xfId="0" applyFont="1" applyFill="1" applyBorder="1" applyAlignment="1">
      <alignment horizontal="left" vertical="center"/>
    </xf>
    <xf numFmtId="0" fontId="0" fillId="10" borderId="0" xfId="0" applyFill="1" applyBorder="1" applyAlignment="1">
      <alignment horizontal="left" vertical="center"/>
    </xf>
    <xf numFmtId="0" fontId="44" fillId="10" borderId="0" xfId="0" applyFont="1" applyFill="1" applyAlignment="1">
      <alignment horizontal="center" vertical="top"/>
    </xf>
    <xf numFmtId="0" fontId="43" fillId="10" borderId="0" xfId="0" applyFont="1" applyFill="1" applyAlignment="1">
      <alignment vertical="top"/>
    </xf>
    <xf numFmtId="0" fontId="44" fillId="10" borderId="0" xfId="0" quotePrefix="1" applyFont="1" applyFill="1" applyAlignment="1">
      <alignment vertical="top"/>
    </xf>
    <xf numFmtId="49" fontId="44" fillId="20" borderId="0" xfId="0" applyNumberFormat="1" applyFont="1" applyFill="1" applyAlignment="1">
      <alignment vertical="top"/>
    </xf>
    <xf numFmtId="49" fontId="44" fillId="10" borderId="0" xfId="0" applyNumberFormat="1" applyFont="1" applyFill="1" applyAlignment="1">
      <alignment vertical="top"/>
    </xf>
    <xf numFmtId="0" fontId="2" fillId="16" borderId="0" xfId="0" applyFont="1" applyFill="1" applyBorder="1" applyProtection="1"/>
    <xf numFmtId="0" fontId="2" fillId="16" borderId="0" xfId="0" applyFont="1" applyFill="1" applyProtection="1"/>
    <xf numFmtId="0" fontId="44" fillId="10" borderId="56" xfId="0" applyFont="1" applyFill="1" applyBorder="1" applyAlignment="1" applyProtection="1">
      <alignment horizontal="left" vertical="center"/>
    </xf>
    <xf numFmtId="0" fontId="44" fillId="16" borderId="0" xfId="0" applyFont="1" applyFill="1"/>
    <xf numFmtId="178" fontId="44" fillId="10" borderId="56" xfId="0" applyNumberFormat="1" applyFont="1" applyFill="1" applyBorder="1" applyAlignment="1" applyProtection="1">
      <alignment horizontal="left" vertical="center" wrapText="1" indent="1"/>
    </xf>
    <xf numFmtId="180" fontId="44" fillId="10" borderId="56" xfId="0" applyNumberFormat="1" applyFont="1" applyFill="1" applyBorder="1" applyAlignment="1" applyProtection="1">
      <alignment horizontal="center" vertical="center"/>
    </xf>
    <xf numFmtId="2" fontId="44" fillId="10" borderId="56" xfId="0" applyNumberFormat="1" applyFont="1" applyFill="1" applyBorder="1" applyAlignment="1" applyProtection="1">
      <alignment horizontal="center" vertical="center"/>
    </xf>
    <xf numFmtId="173" fontId="44" fillId="10" borderId="73" xfId="0" applyNumberFormat="1" applyFont="1" applyFill="1" applyBorder="1" applyAlignment="1" applyProtection="1">
      <alignment horizontal="center" vertical="center"/>
    </xf>
    <xf numFmtId="0" fontId="44" fillId="16" borderId="0" xfId="0" applyFont="1" applyFill="1" applyBorder="1" applyProtection="1"/>
    <xf numFmtId="0" fontId="44" fillId="16" borderId="0" xfId="0" applyFont="1" applyFill="1" applyBorder="1" applyAlignment="1" applyProtection="1">
      <alignment horizontal="left" vertical="center"/>
    </xf>
    <xf numFmtId="0" fontId="44" fillId="16" borderId="0" xfId="0" applyFont="1" applyFill="1" applyBorder="1" applyAlignment="1" applyProtection="1">
      <alignment horizontal="center" vertical="center"/>
    </xf>
    <xf numFmtId="0" fontId="44" fillId="16" borderId="39" xfId="0" applyFont="1" applyFill="1" applyBorder="1" applyAlignment="1" applyProtection="1">
      <alignment horizontal="center" vertical="center"/>
    </xf>
    <xf numFmtId="0" fontId="44" fillId="16" borderId="0" xfId="0" applyFont="1" applyFill="1" applyBorder="1" applyAlignment="1" applyProtection="1">
      <alignment horizontal="center" vertical="center" wrapText="1"/>
    </xf>
    <xf numFmtId="2" fontId="47" fillId="16" borderId="0" xfId="0" applyNumberFormat="1" applyFont="1" applyFill="1" applyBorder="1" applyAlignment="1" applyProtection="1">
      <alignment horizontal="center" vertical="center"/>
    </xf>
    <xf numFmtId="2" fontId="47" fillId="16" borderId="0" xfId="0" applyNumberFormat="1" applyFont="1" applyFill="1" applyBorder="1" applyAlignment="1" applyProtection="1">
      <alignment horizontal="center" vertical="center" wrapText="1"/>
    </xf>
    <xf numFmtId="2" fontId="44" fillId="16" borderId="0" xfId="0" applyNumberFormat="1" applyFont="1" applyFill="1" applyBorder="1" applyAlignment="1" applyProtection="1">
      <alignment horizontal="center" vertical="center"/>
    </xf>
    <xf numFmtId="166" fontId="44" fillId="10" borderId="11" xfId="0" applyNumberFormat="1" applyFont="1" applyFill="1" applyBorder="1" applyAlignment="1" applyProtection="1">
      <alignment horizontal="center" vertical="center"/>
    </xf>
    <xf numFmtId="168" fontId="44" fillId="10" borderId="4" xfId="0" applyNumberFormat="1" applyFont="1" applyFill="1" applyBorder="1" applyAlignment="1" applyProtection="1">
      <alignment horizontal="center" vertical="center"/>
    </xf>
    <xf numFmtId="173" fontId="44" fillId="16" borderId="0" xfId="0" applyNumberFormat="1" applyFont="1" applyFill="1" applyBorder="1" applyAlignment="1" applyProtection="1">
      <alignment horizontal="center" vertical="center"/>
    </xf>
    <xf numFmtId="170" fontId="44" fillId="16" borderId="0" xfId="0" applyNumberFormat="1" applyFont="1" applyFill="1" applyBorder="1" applyAlignment="1" applyProtection="1">
      <alignment horizontal="center" vertical="center"/>
    </xf>
    <xf numFmtId="166" fontId="44" fillId="16" borderId="0" xfId="0" applyNumberFormat="1" applyFont="1" applyFill="1" applyBorder="1" applyAlignment="1" applyProtection="1">
      <alignment horizontal="center" vertical="center"/>
    </xf>
    <xf numFmtId="168" fontId="44" fillId="16" borderId="0" xfId="0" applyNumberFormat="1" applyFont="1" applyFill="1" applyBorder="1" applyAlignment="1" applyProtection="1">
      <alignment horizontal="center" vertical="center"/>
    </xf>
    <xf numFmtId="0" fontId="48" fillId="16" borderId="0" xfId="0" applyFont="1" applyFill="1" applyAlignment="1">
      <alignment horizontal="center" vertical="center" wrapText="1"/>
    </xf>
    <xf numFmtId="0" fontId="44" fillId="16" borderId="0" xfId="0" applyFont="1" applyFill="1" applyProtection="1"/>
    <xf numFmtId="0" fontId="44" fillId="16" borderId="39" xfId="0" applyFont="1" applyFill="1" applyBorder="1" applyProtection="1"/>
    <xf numFmtId="0" fontId="47" fillId="17" borderId="72" xfId="0" applyFont="1" applyFill="1" applyBorder="1" applyAlignment="1" applyProtection="1">
      <alignment horizontal="center" vertical="center"/>
    </xf>
    <xf numFmtId="180" fontId="44" fillId="10" borderId="20" xfId="0" applyNumberFormat="1" applyFont="1" applyFill="1" applyBorder="1" applyAlignment="1" applyProtection="1">
      <alignment horizontal="center" vertical="center"/>
    </xf>
    <xf numFmtId="173" fontId="44" fillId="10" borderId="11" xfId="0" applyNumberFormat="1" applyFont="1" applyFill="1" applyBorder="1" applyAlignment="1" applyProtection="1">
      <alignment horizontal="center" vertical="center"/>
    </xf>
    <xf numFmtId="0" fontId="44" fillId="16" borderId="16" xfId="0" applyFont="1" applyFill="1" applyBorder="1" applyProtection="1"/>
    <xf numFmtId="0" fontId="47" fillId="16" borderId="0" xfId="0" applyFont="1" applyFill="1" applyBorder="1" applyAlignment="1" applyProtection="1">
      <alignment horizontal="right"/>
    </xf>
    <xf numFmtId="174" fontId="44" fillId="16" borderId="0" xfId="0" applyNumberFormat="1" applyFont="1" applyFill="1" applyBorder="1" applyAlignment="1" applyProtection="1">
      <alignment horizontal="center" vertical="center"/>
    </xf>
    <xf numFmtId="0" fontId="47" fillId="16" borderId="0" xfId="0" applyFont="1" applyFill="1" applyAlignment="1" applyProtection="1">
      <alignment horizontal="right"/>
    </xf>
    <xf numFmtId="175" fontId="44" fillId="16" borderId="0" xfId="0" applyNumberFormat="1" applyFont="1" applyFill="1" applyBorder="1" applyAlignment="1" applyProtection="1">
      <alignment horizontal="center" vertical="center"/>
    </xf>
    <xf numFmtId="0" fontId="50" fillId="18" borderId="71" xfId="0" applyFont="1" applyFill="1" applyBorder="1" applyAlignment="1"/>
    <xf numFmtId="0" fontId="50" fillId="18" borderId="71" xfId="0" applyFont="1" applyFill="1" applyBorder="1" applyAlignment="1">
      <alignment horizontal="center" vertical="center" wrapText="1"/>
    </xf>
    <xf numFmtId="0" fontId="50" fillId="18" borderId="71" xfId="0" applyFont="1" applyFill="1" applyBorder="1" applyAlignment="1" applyProtection="1">
      <alignment wrapText="1"/>
    </xf>
    <xf numFmtId="0" fontId="44" fillId="16" borderId="0" xfId="0" applyFont="1" applyFill="1" applyAlignment="1" applyProtection="1">
      <alignment horizontal="left"/>
    </xf>
    <xf numFmtId="0" fontId="44" fillId="16" borderId="0" xfId="0" applyFont="1" applyFill="1" applyAlignment="1" applyProtection="1">
      <alignment wrapText="1"/>
    </xf>
    <xf numFmtId="0" fontId="50" fillId="16" borderId="3" xfId="0" applyFont="1" applyFill="1" applyBorder="1" applyAlignment="1" applyProtection="1">
      <alignment vertical="center"/>
    </xf>
    <xf numFmtId="0" fontId="44" fillId="16" borderId="3" xfId="0" applyFont="1" applyFill="1" applyBorder="1" applyAlignment="1" applyProtection="1">
      <alignment vertical="center"/>
      <protection locked="0"/>
    </xf>
    <xf numFmtId="0" fontId="44" fillId="16" borderId="0" xfId="0" applyFont="1" applyFill="1" applyBorder="1" applyAlignment="1" applyProtection="1"/>
    <xf numFmtId="0" fontId="44" fillId="16" borderId="0" xfId="0" applyFont="1" applyFill="1" applyBorder="1" applyAlignment="1" applyProtection="1">
      <alignment wrapText="1"/>
    </xf>
    <xf numFmtId="0" fontId="44" fillId="0" borderId="0" xfId="0" applyFont="1" applyProtection="1"/>
    <xf numFmtId="0" fontId="0" fillId="19" borderId="0" xfId="0" applyFill="1" applyProtection="1"/>
    <xf numFmtId="0" fontId="0" fillId="19" borderId="0" xfId="0" applyFill="1" applyAlignment="1" applyProtection="1">
      <alignment horizontal="left"/>
    </xf>
    <xf numFmtId="0" fontId="0" fillId="19" borderId="0" xfId="0" applyFill="1" applyAlignment="1" applyProtection="1">
      <alignment wrapText="1"/>
    </xf>
    <xf numFmtId="0" fontId="43" fillId="19" borderId="0" xfId="0" applyFont="1" applyFill="1" applyAlignment="1" applyProtection="1">
      <alignment vertical="center"/>
    </xf>
    <xf numFmtId="0" fontId="43" fillId="17" borderId="74" xfId="0" applyFont="1" applyFill="1" applyBorder="1" applyAlignment="1">
      <alignment horizontal="center" wrapText="1"/>
    </xf>
    <xf numFmtId="0" fontId="43" fillId="4" borderId="60" xfId="0" applyFont="1" applyFill="1" applyBorder="1" applyAlignment="1">
      <alignment horizontal="center" vertical="center"/>
    </xf>
    <xf numFmtId="0" fontId="44" fillId="4" borderId="73" xfId="0" applyFont="1" applyFill="1" applyBorder="1" applyAlignment="1">
      <alignment horizontal="center" vertical="center"/>
    </xf>
    <xf numFmtId="0" fontId="43" fillId="17" borderId="74" xfId="0" applyFont="1" applyFill="1" applyBorder="1" applyAlignment="1">
      <alignment horizontal="center" vertical="center" wrapText="1"/>
    </xf>
    <xf numFmtId="0" fontId="43" fillId="4" borderId="60" xfId="0" applyFont="1" applyFill="1" applyBorder="1" applyAlignment="1">
      <alignment horizontal="center" vertical="center" wrapText="1"/>
    </xf>
    <xf numFmtId="0" fontId="44" fillId="4" borderId="73" xfId="0" applyFont="1" applyFill="1" applyBorder="1" applyAlignment="1">
      <alignment horizontal="center" vertical="center" wrapText="1"/>
    </xf>
    <xf numFmtId="0" fontId="43" fillId="0" borderId="60" xfId="0" applyFont="1" applyBorder="1" applyAlignment="1">
      <alignment horizontal="center" vertical="center"/>
    </xf>
    <xf numFmtId="0" fontId="43" fillId="17" borderId="55" xfId="0" applyFont="1" applyFill="1" applyBorder="1" applyAlignment="1">
      <alignment horizontal="center"/>
    </xf>
    <xf numFmtId="0" fontId="44" fillId="0" borderId="57" xfId="0" applyFont="1" applyFill="1" applyBorder="1"/>
    <xf numFmtId="0" fontId="44" fillId="4" borderId="5" xfId="0" applyFont="1" applyFill="1" applyBorder="1"/>
    <xf numFmtId="0" fontId="44" fillId="4" borderId="58" xfId="0" applyFont="1" applyFill="1" applyBorder="1"/>
    <xf numFmtId="0" fontId="43" fillId="17" borderId="16" xfId="0" applyFont="1" applyFill="1" applyBorder="1" applyAlignment="1">
      <alignment horizontal="center"/>
    </xf>
    <xf numFmtId="0" fontId="43" fillId="0" borderId="16" xfId="0" applyFont="1" applyFill="1" applyBorder="1" applyAlignment="1"/>
    <xf numFmtId="0" fontId="44" fillId="4" borderId="0" xfId="0" applyFont="1" applyFill="1" applyBorder="1"/>
    <xf numFmtId="0" fontId="44" fillId="4" borderId="35" xfId="0" applyFont="1" applyFill="1" applyBorder="1"/>
    <xf numFmtId="0" fontId="43" fillId="17" borderId="3" xfId="0" applyFont="1" applyFill="1" applyBorder="1" applyAlignment="1">
      <alignment horizontal="center"/>
    </xf>
    <xf numFmtId="49" fontId="44" fillId="0" borderId="16" xfId="0" applyNumberFormat="1" applyFont="1" applyFill="1" applyBorder="1" applyAlignment="1">
      <alignment horizontal="center" vertical="top"/>
    </xf>
    <xf numFmtId="0" fontId="43" fillId="17" borderId="3" xfId="0" applyFont="1" applyFill="1" applyBorder="1" applyAlignment="1">
      <alignment horizontal="center" vertical="center"/>
    </xf>
    <xf numFmtId="0" fontId="43" fillId="17" borderId="66" xfId="0" applyFont="1" applyFill="1" applyBorder="1" applyAlignment="1">
      <alignment horizontal="center"/>
    </xf>
    <xf numFmtId="0" fontId="44" fillId="0" borderId="62" xfId="0" applyFont="1" applyFill="1" applyBorder="1"/>
    <xf numFmtId="0" fontId="44" fillId="4" borderId="65" xfId="0" applyFont="1" applyFill="1" applyBorder="1"/>
    <xf numFmtId="0" fontId="44" fillId="4" borderId="63" xfId="0" applyFont="1" applyFill="1" applyBorder="1"/>
    <xf numFmtId="0" fontId="2" fillId="16" borderId="0" xfId="0" applyFont="1" applyFill="1" applyProtection="1">
      <protection locked="0"/>
    </xf>
    <xf numFmtId="172" fontId="43" fillId="16" borderId="0" xfId="0" applyNumberFormat="1" applyFont="1" applyFill="1" applyBorder="1" applyProtection="1"/>
    <xf numFmtId="0" fontId="2" fillId="16" borderId="0" xfId="0" applyFont="1" applyFill="1" applyBorder="1"/>
    <xf numFmtId="0" fontId="52" fillId="16" borderId="0" xfId="0" applyFont="1" applyFill="1" applyProtection="1"/>
    <xf numFmtId="0" fontId="44" fillId="16" borderId="0" xfId="0" applyFont="1" applyFill="1" applyProtection="1">
      <protection locked="0"/>
    </xf>
    <xf numFmtId="0" fontId="2" fillId="19" borderId="0" xfId="0" applyFont="1" applyFill="1" applyProtection="1"/>
    <xf numFmtId="167" fontId="49" fillId="10" borderId="74" xfId="0" applyNumberFormat="1" applyFont="1" applyFill="1" applyBorder="1" applyProtection="1"/>
    <xf numFmtId="0" fontId="49" fillId="10" borderId="74" xfId="0" applyFont="1" applyFill="1" applyBorder="1" applyProtection="1"/>
    <xf numFmtId="0" fontId="44" fillId="10" borderId="74" xfId="0" applyFont="1" applyFill="1" applyBorder="1" applyAlignment="1" applyProtection="1">
      <alignment vertical="center"/>
    </xf>
    <xf numFmtId="177" fontId="50" fillId="10" borderId="56" xfId="0" applyNumberFormat="1" applyFont="1" applyFill="1" applyBorder="1" applyAlignment="1" applyProtection="1">
      <alignment horizontal="center" vertical="center" wrapText="1" readingOrder="1"/>
    </xf>
    <xf numFmtId="169" fontId="50" fillId="10" borderId="73" xfId="0" applyNumberFormat="1" applyFont="1" applyFill="1" applyBorder="1" applyAlignment="1" applyProtection="1">
      <alignment horizontal="center" vertical="center" wrapText="1" readingOrder="1"/>
    </xf>
    <xf numFmtId="0" fontId="44" fillId="22" borderId="56" xfId="0" applyFont="1" applyFill="1" applyBorder="1" applyAlignment="1" applyProtection="1">
      <alignment horizontal="left" vertical="center" wrapText="1"/>
      <protection locked="0"/>
    </xf>
    <xf numFmtId="0" fontId="44" fillId="22" borderId="56" xfId="0" applyFont="1" applyFill="1" applyBorder="1" applyAlignment="1" applyProtection="1">
      <alignment vertical="center" wrapText="1"/>
      <protection locked="0"/>
    </xf>
    <xf numFmtId="166" fontId="44" fillId="22" borderId="56" xfId="0" applyNumberFormat="1" applyFont="1" applyFill="1" applyBorder="1" applyAlignment="1" applyProtection="1">
      <alignment horizontal="center" vertical="center" wrapText="1"/>
      <protection locked="0"/>
    </xf>
    <xf numFmtId="168" fontId="44" fillId="22" borderId="56" xfId="0" applyNumberFormat="1" applyFont="1" applyFill="1" applyBorder="1" applyAlignment="1" applyProtection="1">
      <alignment horizontal="center" vertical="center"/>
      <protection locked="0"/>
    </xf>
    <xf numFmtId="0" fontId="44" fillId="22" borderId="74" xfId="0" quotePrefix="1" applyFont="1" applyFill="1" applyBorder="1" applyAlignment="1" applyProtection="1">
      <alignment vertical="center" wrapText="1" readingOrder="1"/>
      <protection locked="0"/>
    </xf>
    <xf numFmtId="0" fontId="44" fillId="21" borderId="72" xfId="0" applyFont="1" applyFill="1" applyBorder="1" applyAlignment="1" applyProtection="1">
      <alignment horizontal="center" vertical="center"/>
      <protection locked="0"/>
    </xf>
    <xf numFmtId="0" fontId="43" fillId="16" borderId="0" xfId="0" applyFont="1" applyFill="1" applyBorder="1" applyProtection="1"/>
    <xf numFmtId="0" fontId="52" fillId="16" borderId="0" xfId="0" applyFont="1" applyFill="1" applyBorder="1" applyProtection="1"/>
    <xf numFmtId="9" fontId="44" fillId="23" borderId="56" xfId="0" applyNumberFormat="1" applyFont="1" applyFill="1" applyBorder="1" applyAlignment="1" applyProtection="1">
      <alignment horizontal="center" vertical="center" wrapText="1" readingOrder="1"/>
      <protection locked="0"/>
    </xf>
    <xf numFmtId="2" fontId="44" fillId="23" borderId="56" xfId="0" applyNumberFormat="1" applyFont="1" applyFill="1" applyBorder="1" applyAlignment="1" applyProtection="1">
      <alignment horizontal="center" vertical="center" wrapText="1" readingOrder="1"/>
      <protection locked="0"/>
    </xf>
    <xf numFmtId="0" fontId="54" fillId="21" borderId="79" xfId="0" applyFont="1" applyFill="1" applyBorder="1" applyAlignment="1">
      <alignment horizontal="center" vertical="center"/>
    </xf>
    <xf numFmtId="0" fontId="54" fillId="23" borderId="78" xfId="0" applyFont="1" applyFill="1" applyBorder="1" applyAlignment="1">
      <alignment horizontal="center" vertical="center"/>
    </xf>
    <xf numFmtId="0" fontId="43" fillId="10" borderId="0" xfId="0" quotePrefix="1" applyFont="1" applyFill="1" applyAlignment="1">
      <alignment vertical="top"/>
    </xf>
    <xf numFmtId="0" fontId="54" fillId="0" borderId="78" xfId="0" applyFont="1" applyFill="1" applyBorder="1" applyAlignment="1">
      <alignment horizontal="center" vertical="center"/>
    </xf>
    <xf numFmtId="0" fontId="54" fillId="25" borderId="78" xfId="0" applyFont="1" applyFill="1" applyBorder="1" applyAlignment="1">
      <alignment horizontal="center" vertical="center"/>
    </xf>
    <xf numFmtId="0" fontId="54" fillId="26" borderId="78" xfId="0" applyFont="1" applyFill="1" applyBorder="1" applyAlignment="1">
      <alignment horizontal="center" vertical="center"/>
    </xf>
    <xf numFmtId="0" fontId="54" fillId="26" borderId="73" xfId="0" applyFont="1" applyFill="1" applyBorder="1" applyAlignment="1">
      <alignment horizontal="center" vertical="center"/>
    </xf>
    <xf numFmtId="0" fontId="43" fillId="19" borderId="0" xfId="0" applyFont="1" applyFill="1" applyAlignment="1">
      <alignment horizontal="right" vertical="center"/>
    </xf>
    <xf numFmtId="0" fontId="49" fillId="24" borderId="79" xfId="0" applyFont="1" applyFill="1" applyBorder="1" applyAlignment="1">
      <alignment horizontal="center" vertical="center"/>
    </xf>
    <xf numFmtId="0" fontId="49" fillId="24" borderId="78" xfId="0" applyFont="1" applyFill="1" applyBorder="1" applyAlignment="1">
      <alignment horizontal="center" vertical="center"/>
    </xf>
    <xf numFmtId="0" fontId="49" fillId="24" borderId="73" xfId="0" applyFont="1" applyFill="1" applyBorder="1" applyAlignment="1">
      <alignment horizontal="center" vertical="center"/>
    </xf>
    <xf numFmtId="0" fontId="43" fillId="19" borderId="77" xfId="0" applyFont="1" applyFill="1" applyBorder="1" applyAlignment="1">
      <alignment horizontal="right" vertical="center"/>
    </xf>
    <xf numFmtId="0" fontId="44" fillId="10" borderId="0" xfId="0" applyFont="1" applyFill="1" applyBorder="1" applyAlignment="1">
      <alignment horizontal="left" vertical="center" wrapText="1"/>
    </xf>
    <xf numFmtId="0" fontId="43" fillId="19" borderId="0" xfId="0" applyFont="1" applyFill="1" applyAlignment="1" applyProtection="1">
      <alignment horizontal="right" vertical="center" wrapText="1"/>
    </xf>
    <xf numFmtId="0" fontId="9" fillId="19" borderId="0" xfId="0" applyFont="1" applyFill="1" applyAlignment="1" applyProtection="1">
      <alignment horizontal="right" vertical="center" wrapText="1"/>
    </xf>
    <xf numFmtId="0" fontId="53" fillId="0" borderId="16" xfId="0" applyFont="1" applyFill="1" applyBorder="1" applyAlignment="1">
      <alignment horizontal="center" vertical="center"/>
    </xf>
    <xf numFmtId="0" fontId="53" fillId="0" borderId="0" xfId="0" applyFont="1" applyFill="1" applyBorder="1" applyAlignment="1">
      <alignment horizontal="center" vertical="center"/>
    </xf>
    <xf numFmtId="0" fontId="0" fillId="8" borderId="10" xfId="0" applyFill="1" applyBorder="1" applyAlignment="1" applyProtection="1">
      <alignment horizontal="center" vertical="center" wrapText="1"/>
    </xf>
    <xf numFmtId="0" fontId="0" fillId="0" borderId="4" xfId="0" applyBorder="1" applyAlignment="1">
      <alignment horizontal="center" vertical="center" wrapText="1"/>
    </xf>
    <xf numFmtId="0" fontId="0" fillId="5" borderId="12" xfId="0"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24" fillId="5" borderId="10"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0" borderId="4" xfId="0" applyFont="1" applyBorder="1" applyAlignment="1">
      <alignment horizontal="center" vertical="center" wrapText="1"/>
    </xf>
    <xf numFmtId="0" fontId="24" fillId="5" borderId="42" xfId="0" applyFont="1" applyFill="1" applyBorder="1" applyAlignment="1">
      <alignment horizontal="center" vertical="center" wrapText="1"/>
    </xf>
    <xf numFmtId="0" fontId="0" fillId="8" borderId="8" xfId="0" applyFill="1" applyBorder="1" applyAlignment="1" applyProtection="1">
      <alignment horizontal="center" vertical="center" wrapText="1"/>
    </xf>
    <xf numFmtId="0" fontId="0" fillId="0" borderId="7" xfId="0" applyBorder="1" applyAlignment="1">
      <alignment horizontal="center" vertical="center" wrapText="1"/>
    </xf>
    <xf numFmtId="0" fontId="0" fillId="5" borderId="10" xfId="0" applyFill="1" applyBorder="1" applyAlignment="1" applyProtection="1">
      <alignment horizontal="center" vertical="center"/>
    </xf>
    <xf numFmtId="0" fontId="0" fillId="0" borderId="4" xfId="0" applyBorder="1" applyAlignment="1">
      <alignment horizontal="center" vertical="center"/>
    </xf>
    <xf numFmtId="0" fontId="50" fillId="18" borderId="0" xfId="0" applyFont="1" applyFill="1" applyBorder="1" applyAlignment="1" applyProtection="1">
      <alignment horizontal="center" vertical="center" wrapText="1"/>
    </xf>
    <xf numFmtId="0" fontId="50" fillId="18" borderId="71" xfId="0" applyFont="1" applyFill="1" applyBorder="1" applyAlignment="1">
      <alignment horizontal="center" vertical="center" wrapText="1"/>
    </xf>
    <xf numFmtId="0" fontId="50" fillId="18" borderId="0" xfId="0" applyFont="1" applyFill="1" applyBorder="1" applyAlignment="1">
      <alignment horizontal="center" vertical="center" wrapText="1"/>
    </xf>
    <xf numFmtId="0" fontId="50" fillId="18" borderId="2" xfId="0" applyFont="1" applyFill="1" applyBorder="1" applyAlignment="1" applyProtection="1">
      <alignment horizontal="center" vertical="center" wrapText="1"/>
    </xf>
    <xf numFmtId="0" fontId="50" fillId="18" borderId="75" xfId="0" applyFont="1"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0" borderId="4" xfId="0" applyBorder="1" applyAlignment="1">
      <alignment wrapText="1"/>
    </xf>
    <xf numFmtId="0" fontId="0" fillId="5" borderId="4" xfId="0" applyFill="1" applyBorder="1" applyAlignment="1">
      <alignment wrapText="1"/>
    </xf>
    <xf numFmtId="0" fontId="0" fillId="0" borderId="3" xfId="0" applyBorder="1" applyAlignment="1">
      <alignment horizontal="center" vertical="center" wrapText="1"/>
    </xf>
    <xf numFmtId="170" fontId="0" fillId="7" borderId="30" xfId="0" applyNumberFormat="1" applyFill="1" applyBorder="1" applyAlignment="1" applyProtection="1">
      <alignment horizontal="center" vertical="center" wrapText="1"/>
    </xf>
    <xf numFmtId="170" fontId="0" fillId="7" borderId="21" xfId="0" applyNumberFormat="1" applyFill="1" applyBorder="1" applyAlignment="1" applyProtection="1">
      <alignment horizontal="center" vertical="center" wrapText="1"/>
    </xf>
    <xf numFmtId="170" fontId="0" fillId="7" borderId="15" xfId="0" applyNumberFormat="1" applyFill="1" applyBorder="1" applyAlignment="1" applyProtection="1">
      <alignment horizontal="center" vertical="center" wrapText="1"/>
    </xf>
    <xf numFmtId="2" fontId="0" fillId="5" borderId="10" xfId="0" applyNumberFormat="1" applyFill="1" applyBorder="1" applyAlignment="1" applyProtection="1">
      <alignment horizontal="center" vertical="center" wrapText="1"/>
    </xf>
    <xf numFmtId="0" fontId="0" fillId="0" borderId="3" xfId="0" applyBorder="1" applyAlignment="1">
      <alignment wrapText="1"/>
    </xf>
    <xf numFmtId="0" fontId="2" fillId="8" borderId="10" xfId="0" applyFont="1" applyFill="1" applyBorder="1" applyAlignment="1">
      <alignment horizontal="center" vertical="center" wrapText="1"/>
    </xf>
    <xf numFmtId="0" fontId="49" fillId="18" borderId="74" xfId="0" applyFont="1" applyFill="1" applyBorder="1" applyAlignment="1" applyProtection="1">
      <alignment horizontal="center"/>
    </xf>
    <xf numFmtId="0" fontId="49" fillId="18" borderId="73" xfId="0" applyFont="1" applyFill="1" applyBorder="1" applyAlignment="1" applyProtection="1">
      <alignment horizontal="center"/>
    </xf>
    <xf numFmtId="0" fontId="49" fillId="18" borderId="58" xfId="0" applyFont="1" applyFill="1" applyBorder="1" applyAlignment="1" applyProtection="1">
      <alignment horizontal="center" vertical="center" wrapText="1"/>
    </xf>
    <xf numFmtId="0" fontId="49" fillId="18" borderId="2" xfId="0" applyFont="1" applyFill="1" applyBorder="1" applyAlignment="1" applyProtection="1">
      <alignment horizontal="center" vertical="center" wrapText="1"/>
    </xf>
    <xf numFmtId="0" fontId="49" fillId="18" borderId="75" xfId="0" applyFont="1" applyFill="1" applyBorder="1" applyAlignment="1" applyProtection="1">
      <alignment wrapText="1"/>
    </xf>
    <xf numFmtId="0" fontId="49" fillId="18" borderId="56" xfId="0" applyFont="1" applyFill="1" applyBorder="1" applyAlignment="1" applyProtection="1">
      <alignment horizontal="center" vertical="center"/>
    </xf>
    <xf numFmtId="0" fontId="49" fillId="18" borderId="56" xfId="0" applyFont="1" applyFill="1" applyBorder="1" applyAlignment="1" applyProtection="1"/>
    <xf numFmtId="0" fontId="49" fillId="18" borderId="56" xfId="0" applyFont="1" applyFill="1" applyBorder="1" applyAlignment="1" applyProtection="1">
      <alignment horizontal="center" vertical="center" wrapText="1"/>
    </xf>
    <xf numFmtId="0" fontId="49" fillId="18" borderId="5" xfId="0" applyFont="1" applyFill="1" applyBorder="1" applyAlignment="1" applyProtection="1">
      <alignment horizontal="center" vertical="center" wrapText="1"/>
    </xf>
    <xf numFmtId="0" fontId="49" fillId="18" borderId="0" xfId="0" applyFont="1" applyFill="1" applyBorder="1" applyAlignment="1" applyProtection="1">
      <alignment horizontal="center" vertical="center" wrapText="1"/>
    </xf>
    <xf numFmtId="0" fontId="49" fillId="18" borderId="77" xfId="0" applyFont="1" applyFill="1" applyBorder="1" applyAlignment="1" applyProtection="1">
      <alignment wrapText="1"/>
    </xf>
    <xf numFmtId="0" fontId="0" fillId="5" borderId="8" xfId="0"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40" xfId="0" applyFill="1" applyBorder="1" applyAlignment="1"/>
    <xf numFmtId="0" fontId="0" fillId="5" borderId="11" xfId="0" applyFill="1" applyBorder="1" applyAlignment="1" applyProtection="1">
      <alignment horizontal="center" vertical="center" wrapText="1"/>
    </xf>
    <xf numFmtId="0" fontId="0" fillId="0" borderId="11" xfId="0" applyBorder="1" applyAlignment="1" applyProtection="1">
      <alignment wrapText="1"/>
    </xf>
    <xf numFmtId="0" fontId="9" fillId="8" borderId="28" xfId="0" applyFont="1" applyFill="1" applyBorder="1" applyAlignment="1" applyProtection="1">
      <alignment horizontal="center" vertical="center" wrapText="1"/>
    </xf>
    <xf numFmtId="0" fontId="9" fillId="8" borderId="8"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27" xfId="0" applyFill="1" applyBorder="1" applyAlignment="1">
      <alignment horizontal="center" vertical="center" wrapText="1"/>
    </xf>
    <xf numFmtId="10" fontId="0" fillId="5" borderId="10" xfId="0" applyNumberFormat="1" applyFill="1" applyBorder="1" applyAlignment="1" applyProtection="1">
      <alignment horizontal="center" vertical="center" wrapText="1"/>
    </xf>
    <xf numFmtId="10" fontId="0" fillId="5" borderId="3" xfId="0" applyNumberFormat="1" applyFill="1" applyBorder="1" applyAlignment="1" applyProtection="1">
      <alignment horizontal="center" vertical="center" wrapText="1"/>
    </xf>
    <xf numFmtId="10" fontId="0" fillId="5" borderId="4" xfId="0" applyNumberFormat="1" applyFill="1" applyBorder="1" applyAlignment="1">
      <alignment wrapText="1"/>
    </xf>
    <xf numFmtId="0" fontId="9" fillId="5" borderId="12" xfId="0" applyFont="1" applyFill="1" applyBorder="1" applyAlignment="1" applyProtection="1">
      <alignment horizontal="center" vertical="center"/>
    </xf>
    <xf numFmtId="0" fontId="9" fillId="5" borderId="5" xfId="0" applyFont="1" applyFill="1" applyBorder="1" applyAlignment="1" applyProtection="1">
      <alignment horizontal="center" vertical="center"/>
    </xf>
    <xf numFmtId="0" fontId="9" fillId="5" borderId="8" xfId="0" applyFont="1" applyFill="1" applyBorder="1" applyAlignment="1" applyProtection="1">
      <alignment horizontal="center" vertical="center"/>
    </xf>
    <xf numFmtId="0" fontId="9" fillId="5" borderId="9" xfId="0" applyFont="1" applyFill="1" applyBorder="1" applyAlignment="1" applyProtection="1">
      <alignment horizontal="center" vertical="center"/>
    </xf>
    <xf numFmtId="0" fontId="9" fillId="5" borderId="6" xfId="0" applyFont="1" applyFill="1" applyBorder="1" applyAlignment="1" applyProtection="1">
      <alignment horizontal="center" vertical="center"/>
    </xf>
    <xf numFmtId="0" fontId="9" fillId="5" borderId="7" xfId="0" applyFont="1" applyFill="1" applyBorder="1" applyAlignment="1" applyProtection="1">
      <alignment horizontal="center" vertical="center"/>
    </xf>
    <xf numFmtId="0" fontId="9" fillId="5" borderId="12"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xf>
    <xf numFmtId="0" fontId="9" fillId="0" borderId="5" xfId="0" applyFont="1" applyBorder="1" applyAlignment="1"/>
    <xf numFmtId="0" fontId="9" fillId="0" borderId="8" xfId="0" applyFont="1" applyBorder="1" applyAlignment="1"/>
    <xf numFmtId="0" fontId="9" fillId="0" borderId="9" xfId="0" applyFont="1" applyBorder="1" applyAlignment="1"/>
    <xf numFmtId="0" fontId="9" fillId="0" borderId="6" xfId="0" applyFont="1" applyBorder="1" applyAlignment="1"/>
    <xf numFmtId="0" fontId="9" fillId="0" borderId="7" xfId="0" applyFont="1" applyBorder="1" applyAlignment="1"/>
    <xf numFmtId="0" fontId="2" fillId="8" borderId="10" xfId="0" applyFont="1" applyFill="1" applyBorder="1" applyAlignment="1" applyProtection="1">
      <alignment horizontal="center" vertical="center" wrapText="1"/>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2" fillId="5" borderId="10" xfId="0" applyFont="1" applyFill="1" applyBorder="1" applyAlignment="1" applyProtection="1">
      <alignment horizontal="center" vertical="center" wrapText="1"/>
    </xf>
    <xf numFmtId="0" fontId="0" fillId="5" borderId="42" xfId="0" applyFill="1" applyBorder="1" applyAlignment="1">
      <alignment wrapText="1"/>
    </xf>
    <xf numFmtId="0" fontId="0" fillId="0" borderId="7" xfId="0" applyBorder="1" applyAlignment="1">
      <alignment horizontal="center" vertical="center"/>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49" fillId="18" borderId="79" xfId="0" applyFont="1" applyFill="1" applyBorder="1" applyAlignment="1" applyProtection="1">
      <alignment horizontal="center" vertical="center"/>
    </xf>
    <xf numFmtId="0" fontId="49" fillId="18" borderId="78" xfId="0" applyFont="1" applyFill="1" applyBorder="1" applyAlignment="1" applyProtection="1">
      <alignment horizontal="center" vertical="center"/>
    </xf>
    <xf numFmtId="0" fontId="44" fillId="22" borderId="56" xfId="0" applyFont="1" applyFill="1" applyBorder="1" applyAlignment="1" applyProtection="1">
      <alignment vertical="center" wrapText="1"/>
      <protection locked="0"/>
    </xf>
    <xf numFmtId="0" fontId="43" fillId="17" borderId="74" xfId="0" applyFont="1" applyFill="1" applyBorder="1" applyAlignment="1" applyProtection="1">
      <alignment horizontal="center" vertical="center"/>
    </xf>
    <xf numFmtId="0" fontId="43" fillId="17" borderId="56" xfId="0" applyFont="1" applyFill="1" applyBorder="1" applyAlignment="1" applyProtection="1">
      <alignment horizontal="center" vertical="center"/>
    </xf>
    <xf numFmtId="0" fontId="43" fillId="17" borderId="73" xfId="0" applyFont="1" applyFill="1" applyBorder="1" applyAlignment="1" applyProtection="1">
      <alignment horizontal="center" vertical="center"/>
    </xf>
    <xf numFmtId="0" fontId="0" fillId="8" borderId="10" xfId="0" applyFill="1" applyBorder="1" applyAlignment="1">
      <alignment horizontal="center" vertical="center" wrapText="1"/>
    </xf>
    <xf numFmtId="164" fontId="0" fillId="5" borderId="10" xfId="0" applyNumberFormat="1" applyFill="1" applyBorder="1" applyAlignment="1" applyProtection="1">
      <alignment horizontal="center" vertical="center" wrapText="1"/>
    </xf>
    <xf numFmtId="164" fontId="0" fillId="5" borderId="3" xfId="0" applyNumberForma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49" fillId="18" borderId="57" xfId="0" applyFont="1" applyFill="1" applyBorder="1" applyAlignment="1" applyProtection="1">
      <alignment horizontal="center" vertical="center" wrapText="1"/>
    </xf>
    <xf numFmtId="0" fontId="49" fillId="18" borderId="5" xfId="0" applyFont="1" applyFill="1" applyBorder="1" applyAlignment="1"/>
    <xf numFmtId="0" fontId="49" fillId="18" borderId="0" xfId="0" applyFont="1" applyFill="1" applyBorder="1" applyAlignment="1"/>
    <xf numFmtId="0" fontId="49" fillId="18" borderId="71" xfId="0" applyFont="1" applyFill="1" applyBorder="1" applyAlignment="1" applyProtection="1"/>
    <xf numFmtId="0" fontId="49" fillId="18" borderId="71" xfId="0" applyFont="1" applyFill="1" applyBorder="1" applyAlignment="1"/>
    <xf numFmtId="0" fontId="50" fillId="18" borderId="16" xfId="0" applyFont="1" applyFill="1" applyBorder="1" applyAlignment="1" applyProtection="1">
      <alignment horizontal="center" vertical="top" wrapText="1"/>
    </xf>
    <xf numFmtId="0" fontId="50" fillId="18" borderId="76" xfId="0" applyFont="1" applyFill="1" applyBorder="1" applyAlignment="1">
      <alignment horizontal="center" vertical="top" wrapText="1"/>
    </xf>
    <xf numFmtId="0" fontId="49" fillId="18" borderId="0" xfId="0" applyFont="1" applyFill="1" applyBorder="1" applyAlignment="1">
      <alignment wrapText="1"/>
    </xf>
    <xf numFmtId="0" fontId="51" fillId="16" borderId="0" xfId="0" applyFont="1" applyFill="1" applyBorder="1" applyAlignment="1" applyProtection="1">
      <alignment horizontal="left" vertical="center" wrapText="1" indent="1"/>
    </xf>
    <xf numFmtId="0" fontId="49" fillId="18" borderId="5" xfId="0" applyFont="1" applyFill="1" applyBorder="1" applyAlignment="1" applyProtection="1">
      <alignment horizontal="center" vertical="center"/>
    </xf>
    <xf numFmtId="0" fontId="49" fillId="18" borderId="0" xfId="0" applyFont="1" applyFill="1" applyBorder="1" applyAlignment="1">
      <alignment horizontal="center" vertical="center" wrapText="1"/>
    </xf>
    <xf numFmtId="0" fontId="44" fillId="16" borderId="0" xfId="0" applyFont="1" applyFill="1" applyAlignment="1" applyProtection="1">
      <alignment horizontal="left" wrapText="1"/>
    </xf>
    <xf numFmtId="0" fontId="50" fillId="18" borderId="0" xfId="0" applyNumberFormat="1" applyFont="1" applyFill="1" applyBorder="1" applyAlignment="1" applyProtection="1">
      <alignment horizontal="center" vertical="center" wrapText="1"/>
    </xf>
    <xf numFmtId="0" fontId="50" fillId="18" borderId="77" xfId="0" applyNumberFormat="1" applyFont="1" applyFill="1" applyBorder="1" applyAlignment="1" applyProtection="1">
      <alignment horizontal="center" vertical="center" wrapText="1"/>
    </xf>
    <xf numFmtId="0" fontId="49" fillId="18" borderId="5" xfId="0" applyFont="1" applyFill="1" applyBorder="1" applyAlignment="1">
      <alignment horizontal="center" vertical="center"/>
    </xf>
    <xf numFmtId="0" fontId="49" fillId="18" borderId="58" xfId="0" applyFont="1" applyFill="1" applyBorder="1" applyAlignment="1">
      <alignment horizontal="center" vertical="center"/>
    </xf>
    <xf numFmtId="0" fontId="51" fillId="16" borderId="16" xfId="0" applyFont="1" applyFill="1" applyBorder="1" applyAlignment="1" applyProtection="1">
      <alignment horizontal="center" vertical="center" wrapText="1"/>
    </xf>
    <xf numFmtId="0" fontId="51" fillId="16" borderId="0" xfId="0" applyFont="1" applyFill="1" applyBorder="1" applyAlignment="1" applyProtection="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0" fillId="5" borderId="38" xfId="0" applyFill="1" applyBorder="1" applyAlignment="1" applyProtection="1">
      <alignment horizontal="center" vertical="center" wrapText="1"/>
    </xf>
    <xf numFmtId="0" fontId="0" fillId="5" borderId="34" xfId="0" applyFill="1" applyBorder="1" applyAlignment="1">
      <alignment wrapText="1"/>
    </xf>
    <xf numFmtId="0" fontId="44" fillId="21" borderId="79" xfId="0" applyFont="1" applyFill="1" applyBorder="1" applyAlignment="1" applyProtection="1">
      <alignment horizontal="center" vertical="center"/>
      <protection locked="0"/>
    </xf>
    <xf numFmtId="0" fontId="44" fillId="21" borderId="78" xfId="0" applyFont="1" applyFill="1" applyBorder="1" applyAlignment="1" applyProtection="1">
      <alignment horizontal="center" vertical="center"/>
      <protection locked="0"/>
    </xf>
    <xf numFmtId="2" fontId="0" fillId="5" borderId="55" xfId="0" applyNumberFormat="1" applyFill="1" applyBorder="1" applyAlignment="1" applyProtection="1">
      <alignment horizontal="center" vertical="center" wrapText="1"/>
    </xf>
    <xf numFmtId="2" fontId="0" fillId="5" borderId="3" xfId="0" applyNumberFormat="1" applyFill="1" applyBorder="1" applyAlignment="1" applyProtection="1">
      <alignment horizontal="center" vertical="center" wrapText="1"/>
    </xf>
    <xf numFmtId="2" fontId="0" fillId="5" borderId="67" xfId="0" applyNumberFormat="1" applyFill="1" applyBorder="1" applyAlignment="1" applyProtection="1">
      <alignment horizontal="center" vertical="center" wrapText="1"/>
    </xf>
    <xf numFmtId="0" fontId="44" fillId="21" borderId="74" xfId="0" applyFont="1" applyFill="1" applyBorder="1" applyAlignment="1" applyProtection="1">
      <alignment horizontal="center" vertical="center"/>
      <protection locked="0"/>
    </xf>
    <xf numFmtId="0" fontId="44" fillId="21" borderId="73" xfId="0" applyFont="1" applyFill="1" applyBorder="1" applyAlignment="1" applyProtection="1">
      <alignment horizontal="center" vertical="center"/>
      <protection locked="0"/>
    </xf>
    <xf numFmtId="0" fontId="0" fillId="0" borderId="27" xfId="0" applyBorder="1" applyAlignment="1">
      <alignment horizontal="center" vertical="center" wrapText="1"/>
    </xf>
    <xf numFmtId="0" fontId="44" fillId="16" borderId="0" xfId="0" applyFont="1" applyFill="1" applyBorder="1" applyAlignment="1">
      <alignment horizontal="center" vertical="center" wrapText="1"/>
    </xf>
    <xf numFmtId="0" fontId="44" fillId="16" borderId="0" xfId="0" applyFont="1" applyFill="1" applyAlignment="1">
      <alignment horizontal="center" vertical="center" wrapText="1"/>
    </xf>
    <xf numFmtId="10" fontId="43" fillId="16" borderId="0" xfId="0" applyNumberFormat="1" applyFont="1" applyFill="1" applyBorder="1" applyAlignment="1" applyProtection="1">
      <alignment horizontal="center" vertical="center" wrapText="1"/>
    </xf>
    <xf numFmtId="0" fontId="40" fillId="10" borderId="0" xfId="0" applyFont="1" applyFill="1" applyAlignment="1" applyProtection="1">
      <alignment horizontal="left" vertical="center" wrapText="1"/>
    </xf>
    <xf numFmtId="0" fontId="49" fillId="18" borderId="57" xfId="0" applyFont="1" applyFill="1" applyBorder="1" applyAlignment="1" applyProtection="1">
      <alignment horizontal="center" vertical="center"/>
      <protection locked="0"/>
    </xf>
    <xf numFmtId="0" fontId="49" fillId="18" borderId="16" xfId="0" applyFont="1" applyFill="1" applyBorder="1" applyAlignment="1" applyProtection="1">
      <alignment horizontal="center" vertical="center"/>
      <protection locked="0"/>
    </xf>
    <xf numFmtId="0" fontId="49" fillId="18" borderId="76" xfId="0" applyFont="1" applyFill="1" applyBorder="1" applyAlignment="1" applyProtection="1">
      <alignment horizontal="center" vertical="center"/>
      <protection locked="0"/>
    </xf>
    <xf numFmtId="0" fontId="9" fillId="10" borderId="0" xfId="0" applyFont="1" applyFill="1" applyBorder="1" applyAlignment="1" applyProtection="1">
      <alignment horizontal="left"/>
    </xf>
    <xf numFmtId="0" fontId="17" fillId="2" borderId="0" xfId="0" applyFont="1" applyFill="1" applyAlignment="1" applyProtection="1">
      <alignment horizontal="center" wrapText="1"/>
    </xf>
    <xf numFmtId="0" fontId="8" fillId="16" borderId="0" xfId="0" applyFont="1" applyFill="1" applyBorder="1" applyAlignment="1" applyProtection="1">
      <alignment horizontal="center" vertical="center"/>
    </xf>
    <xf numFmtId="0" fontId="0" fillId="16" borderId="0" xfId="0" applyFill="1" applyAlignment="1">
      <alignment horizontal="center" vertical="center"/>
    </xf>
    <xf numFmtId="0" fontId="44" fillId="4" borderId="5" xfId="0" applyFont="1" applyFill="1" applyBorder="1" applyAlignment="1">
      <alignment horizontal="center" vertical="center" wrapText="1"/>
    </xf>
    <xf numFmtId="0" fontId="44" fillId="4" borderId="0" xfId="0" applyFont="1" applyFill="1" applyBorder="1" applyAlignment="1">
      <alignment horizontal="center" vertical="center" wrapText="1"/>
    </xf>
    <xf numFmtId="0" fontId="44" fillId="4" borderId="77" xfId="0" applyFont="1" applyFill="1" applyBorder="1" applyAlignment="1">
      <alignment horizontal="center" vertical="center" wrapText="1"/>
    </xf>
    <xf numFmtId="0" fontId="13" fillId="16" borderId="0" xfId="0" applyFont="1" applyFill="1" applyAlignment="1">
      <alignment horizontal="center" vertical="center"/>
    </xf>
    <xf numFmtId="0" fontId="49" fillId="18" borderId="74" xfId="0" applyFont="1" applyFill="1" applyBorder="1" applyAlignment="1">
      <alignment horizontal="center" vertical="center"/>
    </xf>
    <xf numFmtId="0" fontId="49" fillId="18" borderId="60" xfId="0" applyFont="1" applyFill="1" applyBorder="1" applyAlignment="1">
      <alignment horizontal="center" vertical="center" wrapText="1"/>
    </xf>
    <xf numFmtId="0" fontId="49" fillId="18" borderId="60" xfId="0" applyFont="1" applyFill="1" applyBorder="1" applyAlignment="1">
      <alignment vertical="center" wrapText="1"/>
    </xf>
    <xf numFmtId="0" fontId="49" fillId="18" borderId="73" xfId="0" applyFont="1" applyFill="1" applyBorder="1" applyAlignment="1">
      <alignment horizontal="center" vertical="center" wrapText="1"/>
    </xf>
    <xf numFmtId="0" fontId="43" fillId="17" borderId="74" xfId="0" applyFont="1" applyFill="1" applyBorder="1" applyAlignment="1">
      <alignment horizontal="center" vertical="center" wrapText="1"/>
    </xf>
    <xf numFmtId="0" fontId="43" fillId="17" borderId="74" xfId="0" applyFont="1" applyFill="1" applyBorder="1" applyAlignment="1">
      <alignment horizontal="center" vertical="center"/>
    </xf>
    <xf numFmtId="0" fontId="43" fillId="0" borderId="60" xfId="0" applyFont="1" applyFill="1" applyBorder="1" applyAlignment="1">
      <alignment horizontal="center" vertical="center" wrapText="1"/>
    </xf>
    <xf numFmtId="0" fontId="44" fillId="0" borderId="60" xfId="0" applyFont="1" applyBorder="1" applyAlignment="1">
      <alignment horizontal="center" wrapText="1"/>
    </xf>
    <xf numFmtId="0" fontId="44" fillId="0" borderId="60" xfId="0" applyFont="1" applyBorder="1" applyAlignment="1">
      <alignment horizontal="center" vertical="center" wrapText="1"/>
    </xf>
    <xf numFmtId="0" fontId="44" fillId="0" borderId="73" xfId="0" applyFont="1" applyFill="1" applyBorder="1" applyAlignment="1">
      <alignment horizontal="center" vertical="center" wrapText="1"/>
    </xf>
    <xf numFmtId="0" fontId="43" fillId="4" borderId="60" xfId="0" applyFont="1" applyFill="1" applyBorder="1" applyAlignment="1">
      <alignment horizontal="center" vertical="center"/>
    </xf>
    <xf numFmtId="0" fontId="44" fillId="0" borderId="60" xfId="0" applyFont="1" applyBorder="1" applyAlignment="1">
      <alignment horizontal="center" vertical="center"/>
    </xf>
    <xf numFmtId="0" fontId="44" fillId="4" borderId="60" xfId="0" applyFont="1" applyFill="1" applyBorder="1" applyAlignment="1">
      <alignment horizontal="center" vertical="center" wrapText="1"/>
    </xf>
    <xf numFmtId="0" fontId="44" fillId="0" borderId="73" xfId="0" applyFont="1" applyBorder="1" applyAlignment="1">
      <alignment horizontal="center" vertical="center"/>
    </xf>
    <xf numFmtId="0" fontId="44" fillId="4" borderId="0" xfId="0" applyFont="1" applyFill="1" applyBorder="1" applyAlignment="1">
      <alignment vertical="top" wrapText="1"/>
    </xf>
    <xf numFmtId="0" fontId="44" fillId="4" borderId="35" xfId="0" applyFont="1" applyFill="1" applyBorder="1" applyAlignment="1">
      <alignment vertical="top" wrapText="1"/>
    </xf>
    <xf numFmtId="0" fontId="42" fillId="16" borderId="0" xfId="0" applyFont="1" applyFill="1" applyAlignment="1">
      <alignment horizontal="center" vertical="center"/>
    </xf>
    <xf numFmtId="0" fontId="43" fillId="0" borderId="60" xfId="0" applyFont="1" applyBorder="1" applyAlignment="1">
      <alignment horizontal="center" vertical="center"/>
    </xf>
    <xf numFmtId="0" fontId="43" fillId="4" borderId="5" xfId="0" applyFont="1" applyFill="1" applyBorder="1" applyAlignment="1">
      <alignment horizontal="center" vertical="center"/>
    </xf>
    <xf numFmtId="0" fontId="43" fillId="4" borderId="0" xfId="0" applyFont="1" applyFill="1" applyBorder="1" applyAlignment="1">
      <alignment horizontal="center" vertical="center"/>
    </xf>
    <xf numFmtId="0" fontId="43" fillId="4" borderId="77" xfId="0" applyFont="1" applyFill="1" applyBorder="1" applyAlignment="1">
      <alignment horizontal="center" vertical="center"/>
    </xf>
    <xf numFmtId="0" fontId="44" fillId="4" borderId="0" xfId="0" applyFont="1" applyFill="1" applyBorder="1" applyAlignment="1">
      <alignment horizontal="left" vertical="center" wrapText="1"/>
    </xf>
    <xf numFmtId="0" fontId="44" fillId="4" borderId="77" xfId="0" applyFont="1" applyFill="1" applyBorder="1" applyAlignment="1">
      <alignment horizontal="left" vertical="center" wrapText="1"/>
    </xf>
    <xf numFmtId="0" fontId="44" fillId="4" borderId="73" xfId="0" applyFont="1" applyFill="1" applyBorder="1" applyAlignment="1">
      <alignment horizontal="center" vertical="center"/>
    </xf>
    <xf numFmtId="0" fontId="44" fillId="4" borderId="73" xfId="0" applyFont="1" applyFill="1" applyBorder="1" applyAlignment="1">
      <alignment horizontal="center" vertical="center" wrapText="1"/>
    </xf>
    <xf numFmtId="0" fontId="44" fillId="0" borderId="73" xfId="0" applyFont="1" applyBorder="1" applyAlignment="1">
      <alignment horizontal="center" vertical="center" wrapText="1"/>
    </xf>
    <xf numFmtId="0" fontId="44" fillId="4" borderId="60" xfId="0" applyFont="1" applyFill="1" applyBorder="1" applyAlignment="1">
      <alignment horizontal="center" vertical="center"/>
    </xf>
    <xf numFmtId="0" fontId="44" fillId="4" borderId="5" xfId="0" applyFont="1" applyFill="1" applyBorder="1" applyAlignment="1">
      <alignment horizontal="center" vertical="center"/>
    </xf>
    <xf numFmtId="0" fontId="44" fillId="4" borderId="0" xfId="0" applyFont="1" applyFill="1" applyBorder="1" applyAlignment="1">
      <alignment horizontal="center" vertical="center"/>
    </xf>
    <xf numFmtId="0" fontId="44" fillId="4" borderId="77" xfId="0" applyFont="1" applyFill="1" applyBorder="1" applyAlignment="1">
      <alignment horizontal="center" vertical="center"/>
    </xf>
    <xf numFmtId="0" fontId="43" fillId="19" borderId="0" xfId="0" applyFont="1" applyFill="1" applyAlignment="1" applyProtection="1">
      <alignment horizontal="right" vertical="center"/>
    </xf>
  </cellXfs>
  <cellStyles count="18">
    <cellStyle name="Followed Hyperlink" xfId="2" builtinId="9" hidden="1"/>
    <cellStyle name="Followed Hyperlink" xfId="4" builtinId="9" hidden="1"/>
    <cellStyle name="Followed Hyperlink" xfId="6" builtinId="9" hidden="1"/>
    <cellStyle name="Followed Hyperlink" xfId="8"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1" builtinId="8" hidden="1"/>
    <cellStyle name="Hyperlink" xfId="3" builtinId="8" hidden="1"/>
    <cellStyle name="Hyperlink" xfId="5" builtinId="8" hidden="1"/>
    <cellStyle name="Hyperlink" xfId="7" builtinId="8" hidden="1"/>
    <cellStyle name="Hyperlink" xfId="10" builtinId="8" hidden="1"/>
    <cellStyle name="Hyperlink" xfId="12" builtinId="8" hidden="1"/>
    <cellStyle name="Hyperlink" xfId="14" builtinId="8" hidden="1"/>
    <cellStyle name="Hyperlink" xfId="16" builtinId="8" hidden="1"/>
    <cellStyle name="Normal" xfId="0" builtinId="0"/>
    <cellStyle name="Percent" xfId="9" builtinId="5"/>
  </cellStyles>
  <dxfs count="52">
    <dxf>
      <fill>
        <patternFill patternType="solid">
          <bgColor rgb="FFDBD2C2"/>
        </patternFill>
      </fill>
    </dxf>
    <dxf>
      <font>
        <b val="0"/>
        <i/>
        <color auto="1"/>
      </font>
      <fill>
        <patternFill>
          <bgColor rgb="FFD8BABB"/>
        </patternFill>
      </fill>
    </dxf>
    <dxf>
      <font>
        <color auto="1"/>
      </font>
      <fill>
        <patternFill>
          <bgColor rgb="FFB8CDCB"/>
        </patternFill>
      </fill>
    </dxf>
    <dxf>
      <font>
        <color rgb="FFDBD2C2"/>
      </font>
      <fill>
        <patternFill>
          <bgColor rgb="FFDBD2C2"/>
        </patternFill>
      </fill>
      <border>
        <right/>
      </border>
    </dxf>
    <dxf>
      <font>
        <b/>
        <i/>
        <color rgb="FFFF0000"/>
      </font>
    </dxf>
    <dxf>
      <font>
        <b/>
        <i val="0"/>
        <color rgb="FF008000"/>
      </font>
      <fill>
        <patternFill>
          <bgColor theme="0"/>
        </patternFill>
      </fill>
    </dxf>
    <dxf>
      <font>
        <b val="0"/>
        <i/>
        <color auto="1"/>
      </font>
      <fill>
        <patternFill>
          <bgColor rgb="FFD8BABB"/>
        </patternFill>
      </fill>
    </dxf>
    <dxf>
      <font>
        <color auto="1"/>
      </font>
      <fill>
        <patternFill>
          <bgColor rgb="FFB8CDCB"/>
        </patternFill>
      </fill>
    </dxf>
    <dxf>
      <font>
        <color rgb="FFDBD2C2"/>
      </font>
      <fill>
        <patternFill>
          <bgColor rgb="FFDBD2C2"/>
        </patternFill>
      </fill>
      <border>
        <left/>
        <right/>
      </border>
    </dxf>
    <dxf>
      <font>
        <b/>
        <i/>
        <color auto="1"/>
      </font>
      <fill>
        <patternFill>
          <bgColor rgb="FFD8BABB"/>
        </patternFill>
      </fill>
    </dxf>
    <dxf>
      <font>
        <b/>
        <i val="0"/>
        <color auto="1"/>
      </font>
      <fill>
        <patternFill>
          <bgColor rgb="FFB8CDCB"/>
        </patternFill>
      </fill>
    </dxf>
    <dxf>
      <font>
        <color rgb="FFDBD2C2"/>
      </font>
      <fill>
        <patternFill>
          <bgColor rgb="FFDBD2C2"/>
        </patternFill>
      </fill>
      <border>
        <left/>
      </border>
    </dxf>
    <dxf>
      <font>
        <color auto="1"/>
      </font>
      <fill>
        <patternFill>
          <bgColor rgb="FFD8BABB"/>
        </patternFill>
      </fill>
      <border>
        <left style="thin">
          <color indexed="64"/>
        </left>
        <right style="thin">
          <color indexed="64"/>
        </right>
        <top style="thin">
          <color indexed="64"/>
        </top>
        <bottom style="thin">
          <color indexed="64"/>
        </bottom>
      </border>
    </dxf>
    <dxf>
      <font>
        <color auto="1"/>
      </font>
      <fill>
        <patternFill>
          <bgColor rgb="FFB8CDCB"/>
        </patternFill>
      </fill>
      <border>
        <left style="thin">
          <color indexed="64"/>
        </left>
        <right style="thin">
          <color indexed="64"/>
        </right>
        <top style="thin">
          <color indexed="64"/>
        </top>
        <bottom style="thin">
          <color indexed="64"/>
        </bottom>
      </border>
    </dxf>
    <dxf>
      <font>
        <color auto="1"/>
      </font>
      <fill>
        <patternFill>
          <bgColor rgb="FFD8BABB"/>
        </patternFill>
      </fill>
      <border>
        <left style="thin">
          <color indexed="64"/>
        </left>
        <right style="thin">
          <color indexed="64"/>
        </right>
        <top style="thin">
          <color indexed="64"/>
        </top>
        <bottom style="thin">
          <color indexed="64"/>
        </bottom>
      </border>
    </dxf>
    <dxf>
      <font>
        <color auto="1"/>
      </font>
      <fill>
        <patternFill>
          <bgColor rgb="FFB8CDCB"/>
        </patternFill>
      </fill>
      <border>
        <left style="thin">
          <color indexed="64"/>
        </left>
        <right style="thin">
          <color indexed="64"/>
        </right>
        <top style="thin">
          <color indexed="64"/>
        </top>
        <bottom style="thin">
          <color indexed="64"/>
        </bottom>
      </border>
    </dxf>
    <dxf>
      <font>
        <color auto="1"/>
      </font>
      <fill>
        <patternFill>
          <bgColor rgb="FFD8BABB"/>
        </patternFill>
      </fill>
      <border>
        <left style="thin">
          <color indexed="64"/>
        </left>
        <right style="thin">
          <color indexed="64"/>
        </right>
        <top style="thin">
          <color indexed="64"/>
        </top>
        <bottom style="thin">
          <color indexed="64"/>
        </bottom>
      </border>
    </dxf>
    <dxf>
      <font>
        <color auto="1"/>
      </font>
      <fill>
        <patternFill>
          <bgColor rgb="FFB8CDCB"/>
        </patternFill>
      </fill>
      <border>
        <left style="thin">
          <color indexed="64"/>
        </left>
        <right style="thin">
          <color indexed="64"/>
        </right>
        <top style="thin">
          <color indexed="64"/>
        </top>
        <bottom style="thin">
          <color indexed="64"/>
        </bottom>
      </border>
    </dxf>
    <dxf>
      <font>
        <color theme="1"/>
      </font>
      <fill>
        <patternFill>
          <bgColor theme="0"/>
        </patternFill>
      </fill>
      <border>
        <left/>
        <right/>
        <top/>
        <bottom/>
        <vertical/>
        <horizontal/>
      </border>
    </dxf>
    <dxf>
      <fill>
        <patternFill>
          <bgColor rgb="FFD8BABB"/>
        </patternFill>
      </fill>
      <border>
        <left style="thin">
          <color auto="1"/>
        </left>
        <right style="thin">
          <color auto="1"/>
        </right>
        <top style="thin">
          <color auto="1"/>
        </top>
        <bottom style="thin">
          <color auto="1"/>
        </bottom>
        <vertical/>
        <horizontal/>
      </border>
    </dxf>
    <dxf>
      <fill>
        <patternFill>
          <bgColor rgb="FFC08F81"/>
        </patternFill>
      </fill>
      <border>
        <left style="thin">
          <color auto="1"/>
        </left>
        <right style="thin">
          <color auto="1"/>
        </right>
        <top style="thin">
          <color auto="1"/>
        </top>
        <bottom style="thin">
          <color auto="1"/>
        </bottom>
        <vertical/>
        <horizontal/>
      </border>
    </dxf>
    <dxf>
      <font>
        <color theme="1"/>
      </font>
      <fill>
        <patternFill>
          <bgColor theme="0"/>
        </patternFill>
      </fill>
    </dxf>
    <dxf>
      <font>
        <b val="0"/>
        <i val="0"/>
        <color rgb="FFFF0000"/>
      </font>
      <fill>
        <patternFill>
          <bgColor rgb="FF999FA7"/>
        </patternFill>
      </fill>
    </dxf>
    <dxf>
      <font>
        <color theme="0" tint="-0.24994659260841701"/>
      </font>
    </dxf>
    <dxf>
      <font>
        <b val="0"/>
        <i val="0"/>
        <color theme="1"/>
      </font>
      <fill>
        <patternFill patternType="solid">
          <bgColor theme="0"/>
        </patternFill>
      </fill>
    </dxf>
    <dxf>
      <font>
        <b/>
        <i val="0"/>
        <color rgb="FFFF0000"/>
      </font>
      <fill>
        <patternFill>
          <bgColor rgb="FFDBD2C2"/>
        </patternFill>
      </fill>
    </dxf>
    <dxf>
      <font>
        <b/>
        <i val="0"/>
        <color rgb="FFFF0000"/>
      </font>
      <fill>
        <patternFill>
          <bgColor rgb="FFDBD2C2"/>
        </patternFill>
      </fill>
    </dxf>
    <dxf>
      <font>
        <b val="0"/>
        <i val="0"/>
        <color theme="1"/>
      </font>
      <fill>
        <patternFill patternType="solid">
          <bgColor theme="0"/>
        </patternFill>
      </fill>
    </dxf>
    <dxf>
      <font>
        <b/>
        <i/>
        <color rgb="FFFF0000"/>
      </font>
      <fill>
        <patternFill patternType="solid">
          <bgColor rgb="FFDBD2C2"/>
        </patternFill>
      </fill>
    </dxf>
    <dxf>
      <fill>
        <patternFill patternType="solid">
          <bgColor theme="0"/>
        </patternFill>
      </fill>
    </dxf>
    <dxf>
      <font>
        <b/>
        <i/>
        <color rgb="FFFF0000"/>
      </font>
    </dxf>
    <dxf>
      <font>
        <color theme="0" tint="-0.34998626667073579"/>
      </font>
    </dxf>
    <dxf>
      <font>
        <color theme="1"/>
      </font>
      <fill>
        <patternFill>
          <bgColor rgb="FFD8BABB"/>
        </patternFill>
      </fill>
    </dxf>
    <dxf>
      <font>
        <color theme="1"/>
      </font>
      <fill>
        <patternFill>
          <bgColor rgb="FFDBD2C2"/>
        </patternFill>
      </fill>
    </dxf>
    <dxf>
      <font>
        <color theme="0"/>
      </font>
      <fill>
        <patternFill>
          <bgColor indexed="9"/>
        </patternFill>
      </fill>
    </dxf>
    <dxf>
      <font>
        <strike val="0"/>
        <color auto="1"/>
      </font>
      <fill>
        <patternFill>
          <bgColor rgb="FFB8CDCB"/>
        </patternFill>
      </fill>
      <border>
        <left style="thin">
          <color rgb="FFB8CDCB"/>
        </left>
        <right style="thin">
          <color rgb="FFB8CDCB"/>
        </right>
        <top style="thin">
          <color rgb="FFB8CDCB"/>
        </top>
        <bottom style="thin">
          <color rgb="FFB8CDCB"/>
        </bottom>
      </border>
    </dxf>
    <dxf>
      <font>
        <strike val="0"/>
        <color auto="1"/>
      </font>
      <fill>
        <patternFill>
          <bgColor rgb="FFD8BABB"/>
        </patternFill>
      </fill>
      <border>
        <left style="thin">
          <color rgb="FFD8BABB"/>
        </left>
        <right style="thin">
          <color rgb="FFD8BABB"/>
        </right>
        <top style="thin">
          <color rgb="FFD8BABB"/>
        </top>
        <bottom style="thin">
          <color rgb="FFD8BABB"/>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ont>
        <color auto="1"/>
      </font>
      <fill>
        <patternFill>
          <bgColor rgb="FFD8BABB"/>
        </patternFill>
      </fill>
    </dxf>
    <dxf>
      <font>
        <color auto="1"/>
      </font>
      <fill>
        <patternFill>
          <bgColor rgb="FFB8CDCB"/>
        </patternFill>
      </fill>
    </dxf>
    <dxf>
      <font>
        <color theme="0"/>
      </font>
      <fill>
        <patternFill>
          <bgColor rgb="FF720205"/>
        </patternFill>
      </fill>
      <border>
        <left/>
        <right/>
        <top/>
        <bottom style="thin">
          <color indexed="64"/>
        </bottom>
      </border>
    </dxf>
    <dxf>
      <fill>
        <patternFill>
          <bgColor theme="0"/>
        </patternFill>
      </fill>
      <border>
        <left/>
        <right/>
        <top/>
        <bottom style="thin">
          <color indexed="64"/>
        </bottom>
      </border>
    </dxf>
    <dxf>
      <font>
        <color theme="0"/>
      </font>
      <fill>
        <patternFill>
          <bgColor rgb="FF720205"/>
        </patternFill>
      </fill>
      <border>
        <left/>
        <right/>
        <top/>
        <bottom style="thin">
          <color indexed="64"/>
        </bottom>
      </border>
    </dxf>
    <dxf>
      <fill>
        <patternFill>
          <bgColor theme="0"/>
        </patternFill>
      </fill>
      <border>
        <left/>
        <right/>
        <top/>
        <bottom style="thin">
          <color indexed="64"/>
        </bottom>
      </border>
    </dxf>
    <dxf>
      <font>
        <b/>
        <i/>
        <condense val="0"/>
        <extend val="0"/>
        <color indexed="10"/>
      </font>
      <fill>
        <patternFill>
          <bgColor rgb="FFC7CBCE"/>
        </patternFill>
      </fill>
    </dxf>
    <dxf>
      <font>
        <b val="0"/>
        <i/>
        <color auto="1"/>
      </font>
      <fill>
        <patternFill patternType="solid">
          <bgColor rgb="FFC7CBCE"/>
        </patternFill>
      </fill>
    </dxf>
    <dxf>
      <font>
        <b/>
        <i/>
        <strike val="0"/>
        <condense val="0"/>
        <extend val="0"/>
        <color indexed="10"/>
      </font>
      <fill>
        <patternFill>
          <bgColor rgb="FFC7CBCE"/>
        </patternFill>
      </fill>
    </dxf>
    <dxf>
      <font>
        <condense val="0"/>
        <extend val="0"/>
        <color indexed="9"/>
      </font>
    </dxf>
    <dxf>
      <font>
        <b/>
        <i/>
        <color rgb="FFFF0000"/>
      </font>
      <fill>
        <patternFill>
          <bgColor rgb="FFDBD2C2"/>
        </patternFill>
      </fill>
    </dxf>
    <dxf>
      <fill>
        <patternFill>
          <bgColor indexed="13"/>
        </patternFill>
      </fill>
    </dxf>
  </dxfs>
  <tableStyles count="0" defaultTableStyle="TableStyleMedium9" defaultPivotStyle="PivotStyleLight16"/>
  <colors>
    <mruColors>
      <color rgb="FFC7CBCE"/>
      <color rgb="FF999FA7"/>
      <color rgb="FFDBD2C2"/>
      <color rgb="FFD8BABB"/>
      <color rgb="FFB8CDCB"/>
      <color rgb="FFC08F81"/>
      <color rgb="FF720205"/>
      <color rgb="FF7D8FBF"/>
      <color rgb="FFA8B5D4"/>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Help!A1"/><Relationship Id="rId7" Type="http://schemas.openxmlformats.org/officeDocument/2006/relationships/image" Target="../media/image3.png"/><Relationship Id="rId2" Type="http://schemas.openxmlformats.org/officeDocument/2006/relationships/hyperlink" Target="#'Adjustment factors'!A1"/><Relationship Id="rId1" Type="http://schemas.openxmlformats.org/officeDocument/2006/relationships/hyperlink" Target="#'Class 1'!A1"/><Relationship Id="rId6" Type="http://schemas.openxmlformats.org/officeDocument/2006/relationships/image" Target="../media/image2.png"/><Relationship Id="rId5" Type="http://schemas.openxmlformats.org/officeDocument/2006/relationships/image" Target="../media/image1.jpg"/><Relationship Id="rId4" Type="http://schemas.openxmlformats.org/officeDocument/2006/relationships/hyperlink" Target="#Worksheet!A1"/></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Screenshot2"/><Relationship Id="rId7" Type="http://schemas.openxmlformats.org/officeDocument/2006/relationships/image" Target="../media/image2.png"/><Relationship Id="rId2" Type="http://schemas.openxmlformats.org/officeDocument/2006/relationships/hyperlink" Target="#Screenshot1"/><Relationship Id="rId1" Type="http://schemas.openxmlformats.org/officeDocument/2006/relationships/hyperlink" Target="#'Main Menu'!A1"/><Relationship Id="rId6" Type="http://schemas.openxmlformats.org/officeDocument/2006/relationships/image" Target="../media/image1.jpg"/><Relationship Id="rId5" Type="http://schemas.openxmlformats.org/officeDocument/2006/relationships/hyperlink" Target="#Screenshot4"/><Relationship Id="rId4" Type="http://schemas.openxmlformats.org/officeDocument/2006/relationships/hyperlink" Target="#Screenshot3"/><Relationship Id="rId9"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Main Menu'!A1"/><Relationship Id="rId7"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hyperlink" Target="#'Adjustment factors'!A1"/><Relationship Id="rId6" Type="http://schemas.openxmlformats.org/officeDocument/2006/relationships/image" Target="../media/image2.png"/><Relationship Id="rId5" Type="http://schemas.openxmlformats.org/officeDocument/2006/relationships/image" Target="../media/image1.jpg"/><Relationship Id="rId4" Type="http://schemas.openxmlformats.org/officeDocument/2006/relationships/hyperlink" Target="#Help!A1"/></Relationships>
</file>

<file path=xl/drawings/_rels/drawing4.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Class 1'!A1"/><Relationship Id="rId1" Type="http://schemas.openxmlformats.org/officeDocument/2006/relationships/hyperlink" Target="#'Main Menu'!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hyperlink" Target="#'Main Menu'!A1"/></Relationships>
</file>

<file path=xl/drawings/_rels/drawing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9.png"/><Relationship Id="rId7" Type="http://schemas.openxmlformats.org/officeDocument/2006/relationships/image" Target="../media/image1.jp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hyperlink" Target="#Help!A1"/><Relationship Id="rId11" Type="http://schemas.openxmlformats.org/officeDocument/2006/relationships/image" Target="../media/image11.png"/><Relationship Id="rId5" Type="http://schemas.openxmlformats.org/officeDocument/2006/relationships/hyperlink" Target="#'Main Menu'!A1"/><Relationship Id="rId10" Type="http://schemas.openxmlformats.org/officeDocument/2006/relationships/image" Target="../media/image4.png"/><Relationship Id="rId4" Type="http://schemas.openxmlformats.org/officeDocument/2006/relationships/image" Target="../media/image10.png"/><Relationship Id="rId9"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103725</xdr:colOff>
      <xdr:row>4</xdr:row>
      <xdr:rowOff>174483</xdr:rowOff>
    </xdr:from>
    <xdr:to>
      <xdr:col>7</xdr:col>
      <xdr:colOff>605988</xdr:colOff>
      <xdr:row>27</xdr:row>
      <xdr:rowOff>116838</xdr:rowOff>
    </xdr:to>
    <xdr:sp macro="" textlink="">
      <xdr:nvSpPr>
        <xdr:cNvPr id="1062" name="Rectangle 38">
          <a:extLst>
            <a:ext uri="{FF2B5EF4-FFF2-40B4-BE49-F238E27FC236}">
              <a16:creationId xmlns:a16="http://schemas.microsoft.com/office/drawing/2014/main" id="{00000000-0008-0000-0000-000026040000}"/>
            </a:ext>
          </a:extLst>
        </xdr:cNvPr>
        <xdr:cNvSpPr>
          <a:spLocks noChangeArrowheads="1"/>
        </xdr:cNvSpPr>
      </xdr:nvSpPr>
      <xdr:spPr bwMode="auto">
        <a:xfrm>
          <a:off x="688832" y="3113626"/>
          <a:ext cx="4189799" cy="3752355"/>
        </a:xfrm>
        <a:prstGeom prst="rect">
          <a:avLst/>
        </a:prstGeom>
        <a:solidFill>
          <a:srgbClr val="C7CBCE">
            <a:alpha val="80000"/>
          </a:srgbClr>
        </a:solidFill>
        <a:ln w="9525" algn="ctr">
          <a:solidFill>
            <a:schemeClr val="tx1"/>
          </a:solidFill>
          <a:miter lim="800000"/>
          <a:headEnd/>
          <a:tailEnd/>
        </a:ln>
        <a:effectLst/>
      </xdr:spPr>
      <xdr:txBody>
        <a:bodyPr/>
        <a:lstStyle/>
        <a:p>
          <a:endParaRPr lang="en-AU"/>
        </a:p>
      </xdr:txBody>
    </xdr:sp>
    <xdr:clientData/>
  </xdr:twoCellAnchor>
  <xdr:twoCellAnchor>
    <xdr:from>
      <xdr:col>2</xdr:col>
      <xdr:colOff>404312</xdr:colOff>
      <xdr:row>4</xdr:row>
      <xdr:rowOff>192069</xdr:rowOff>
    </xdr:from>
    <xdr:to>
      <xdr:col>6</xdr:col>
      <xdr:colOff>164022</xdr:colOff>
      <xdr:row>6</xdr:row>
      <xdr:rowOff>55561</xdr:rowOff>
    </xdr:to>
    <xdr:sp macro="" textlink="">
      <xdr:nvSpPr>
        <xdr:cNvPr id="1067" name="Text Box 43">
          <a:extLst>
            <a:ext uri="{FF2B5EF4-FFF2-40B4-BE49-F238E27FC236}">
              <a16:creationId xmlns:a16="http://schemas.microsoft.com/office/drawing/2014/main" id="{00000000-0008-0000-0000-00002B040000}"/>
            </a:ext>
          </a:extLst>
        </xdr:cNvPr>
        <xdr:cNvSpPr txBox="1">
          <a:spLocks noChangeArrowheads="1"/>
        </xdr:cNvSpPr>
      </xdr:nvSpPr>
      <xdr:spPr bwMode="auto">
        <a:xfrm>
          <a:off x="1751419" y="3131212"/>
          <a:ext cx="2100139" cy="258099"/>
        </a:xfrm>
        <a:prstGeom prst="rect">
          <a:avLst/>
        </a:prstGeom>
        <a:noFill/>
        <a:ln w="9525" algn="ctr">
          <a:noFill/>
          <a:miter lim="800000"/>
          <a:headEnd/>
          <a:tailEnd/>
        </a:ln>
        <a:effectLst/>
      </xdr:spPr>
      <xdr:txBody>
        <a:bodyPr vertOverflow="clip" wrap="square" lIns="36576" tIns="32004" rIns="36576" bIns="0" anchor="t" upright="1"/>
        <a:lstStyle/>
        <a:p>
          <a:pPr algn="ctr" rtl="0">
            <a:defRPr sz="1000"/>
          </a:pPr>
          <a:r>
            <a:rPr lang="en-AU" sz="1400" b="1" i="0" u="none" strike="noStrike" baseline="0">
              <a:solidFill>
                <a:sysClr val="windowText" lastClr="000000"/>
              </a:solidFill>
              <a:latin typeface="Arial"/>
              <a:cs typeface="Arial"/>
            </a:rPr>
            <a:t>Calculators</a:t>
          </a:r>
        </a:p>
      </xdr:txBody>
    </xdr:sp>
    <xdr:clientData/>
  </xdr:twoCellAnchor>
  <xdr:twoCellAnchor>
    <xdr:from>
      <xdr:col>1</xdr:col>
      <xdr:colOff>390417</xdr:colOff>
      <xdr:row>14</xdr:row>
      <xdr:rowOff>159682</xdr:rowOff>
    </xdr:from>
    <xdr:to>
      <xdr:col>7</xdr:col>
      <xdr:colOff>341826</xdr:colOff>
      <xdr:row>18</xdr:row>
      <xdr:rowOff>82371</xdr:rowOff>
    </xdr:to>
    <xdr:sp macro="" textlink="">
      <xdr:nvSpPr>
        <xdr:cNvPr id="1074" name="AutoShape 50" descr="help">
          <a:hlinkClick xmlns:r="http://schemas.openxmlformats.org/officeDocument/2006/relationships" r:id="rId1"/>
          <a:extLst>
            <a:ext uri="{FF2B5EF4-FFF2-40B4-BE49-F238E27FC236}">
              <a16:creationId xmlns:a16="http://schemas.microsoft.com/office/drawing/2014/main" id="{00000000-0008-0000-0000-000032040000}"/>
            </a:ext>
          </a:extLst>
        </xdr:cNvPr>
        <xdr:cNvSpPr>
          <a:spLocks noChangeArrowheads="1"/>
        </xdr:cNvSpPr>
      </xdr:nvSpPr>
      <xdr:spPr bwMode="auto">
        <a:xfrm>
          <a:off x="975524" y="4799718"/>
          <a:ext cx="3638945" cy="562224"/>
        </a:xfrm>
        <a:prstGeom prst="roundRect">
          <a:avLst>
            <a:gd name="adj" fmla="val 21741"/>
          </a:avLst>
        </a:prstGeom>
        <a:solidFill>
          <a:srgbClr val="C08F81"/>
        </a:solidFill>
        <a:ln w="38100" algn="ctr">
          <a:noFill/>
          <a:round/>
          <a:headEnd/>
          <a:tailEnd/>
        </a:ln>
        <a:effectLst/>
      </xdr:spPr>
      <xdr:txBody>
        <a:bodyPr vertOverflow="clip" wrap="square" lIns="36576" tIns="22860" rIns="36576" bIns="0" anchor="t" upright="1"/>
        <a:lstStyle/>
        <a:p>
          <a:pPr algn="ctr" rtl="0">
            <a:defRPr sz="1000"/>
          </a:pPr>
          <a:r>
            <a:rPr lang="en-AU" sz="1400" b="1" i="0" u="none" strike="noStrike" baseline="0">
              <a:solidFill>
                <a:schemeClr val="tx1"/>
              </a:solidFill>
              <a:latin typeface="Arial"/>
              <a:cs typeface="Arial"/>
            </a:rPr>
            <a:t>Residential Lighting Calculator</a:t>
          </a:r>
        </a:p>
        <a:p>
          <a:pPr algn="ctr" rtl="0">
            <a:defRPr sz="1000"/>
          </a:pPr>
          <a:r>
            <a:rPr lang="en-AU" sz="1400" b="0" i="0" u="none" strike="noStrike" baseline="0">
              <a:solidFill>
                <a:schemeClr val="tx1"/>
              </a:solidFill>
              <a:latin typeface="Arial"/>
              <a:cs typeface="Arial"/>
            </a:rPr>
            <a:t>NCC Volume Two</a:t>
          </a:r>
        </a:p>
      </xdr:txBody>
    </xdr:sp>
    <xdr:clientData/>
  </xdr:twoCellAnchor>
  <xdr:twoCellAnchor>
    <xdr:from>
      <xdr:col>9</xdr:col>
      <xdr:colOff>133468</xdr:colOff>
      <xdr:row>4</xdr:row>
      <xdr:rowOff>197999</xdr:rowOff>
    </xdr:from>
    <xdr:to>
      <xdr:col>15</xdr:col>
      <xdr:colOff>552711</xdr:colOff>
      <xdr:row>27</xdr:row>
      <xdr:rowOff>93322</xdr:rowOff>
    </xdr:to>
    <xdr:sp macro="" textlink="">
      <xdr:nvSpPr>
        <xdr:cNvPr id="1064" name="Rectangle 40">
          <a:extLst>
            <a:ext uri="{FF2B5EF4-FFF2-40B4-BE49-F238E27FC236}">
              <a16:creationId xmlns:a16="http://schemas.microsoft.com/office/drawing/2014/main" id="{00000000-0008-0000-0000-000028040000}"/>
            </a:ext>
          </a:extLst>
        </xdr:cNvPr>
        <xdr:cNvSpPr>
          <a:spLocks noChangeArrowheads="1"/>
        </xdr:cNvSpPr>
      </xdr:nvSpPr>
      <xdr:spPr bwMode="auto">
        <a:xfrm>
          <a:off x="6025361" y="3137142"/>
          <a:ext cx="4174814" cy="3705323"/>
        </a:xfrm>
        <a:prstGeom prst="rect">
          <a:avLst/>
        </a:prstGeom>
        <a:solidFill>
          <a:srgbClr val="C7CBCE">
            <a:alpha val="80000"/>
          </a:srgbClr>
        </a:solidFill>
        <a:ln w="9525" algn="ctr">
          <a:solidFill>
            <a:sysClr val="windowText" lastClr="000000"/>
          </a:solidFill>
          <a:miter lim="800000"/>
          <a:headEnd/>
          <a:tailEnd/>
        </a:ln>
        <a:effectLst/>
      </xdr:spPr>
      <xdr:txBody>
        <a:bodyPr/>
        <a:lstStyle/>
        <a:p>
          <a:endParaRPr lang="en-AU" sz="1400"/>
        </a:p>
      </xdr:txBody>
    </xdr:sp>
    <xdr:clientData/>
  </xdr:twoCellAnchor>
  <xdr:twoCellAnchor>
    <xdr:from>
      <xdr:col>9</xdr:col>
      <xdr:colOff>419881</xdr:colOff>
      <xdr:row>8</xdr:row>
      <xdr:rowOff>110611</xdr:rowOff>
    </xdr:from>
    <xdr:to>
      <xdr:col>15</xdr:col>
      <xdr:colOff>311429</xdr:colOff>
      <xdr:row>12</xdr:row>
      <xdr:rowOff>27389</xdr:rowOff>
    </xdr:to>
    <xdr:sp macro="" textlink="">
      <xdr:nvSpPr>
        <xdr:cNvPr id="1058" name="AutoShape 34" descr="help">
          <a:hlinkClick xmlns:r="http://schemas.openxmlformats.org/officeDocument/2006/relationships" r:id="rId2"/>
          <a:extLst>
            <a:ext uri="{FF2B5EF4-FFF2-40B4-BE49-F238E27FC236}">
              <a16:creationId xmlns:a16="http://schemas.microsoft.com/office/drawing/2014/main" id="{00000000-0008-0000-0000-000022040000}"/>
            </a:ext>
          </a:extLst>
        </xdr:cNvPr>
        <xdr:cNvSpPr>
          <a:spLocks noChangeArrowheads="1"/>
        </xdr:cNvSpPr>
      </xdr:nvSpPr>
      <xdr:spPr bwMode="auto">
        <a:xfrm>
          <a:off x="6311774" y="3770932"/>
          <a:ext cx="3647119" cy="569921"/>
        </a:xfrm>
        <a:prstGeom prst="roundRect">
          <a:avLst>
            <a:gd name="adj" fmla="val 21741"/>
          </a:avLst>
        </a:prstGeom>
        <a:solidFill>
          <a:srgbClr val="C08F81"/>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tx1"/>
              </a:solidFill>
              <a:latin typeface="Arial"/>
              <a:cs typeface="Arial"/>
            </a:rPr>
            <a:t>Illumination Power Density Adjustment Factors for a Control Device</a:t>
          </a:r>
        </a:p>
      </xdr:txBody>
    </xdr:sp>
    <xdr:clientData/>
  </xdr:twoCellAnchor>
  <xdr:twoCellAnchor>
    <xdr:from>
      <xdr:col>11</xdr:col>
      <xdr:colOff>227521</xdr:colOff>
      <xdr:row>5</xdr:row>
      <xdr:rowOff>22010</xdr:rowOff>
    </xdr:from>
    <xdr:to>
      <xdr:col>14</xdr:col>
      <xdr:colOff>333580</xdr:colOff>
      <xdr:row>7</xdr:row>
      <xdr:rowOff>38453</xdr:rowOff>
    </xdr:to>
    <xdr:sp macro="" textlink="">
      <xdr:nvSpPr>
        <xdr:cNvPr id="1068" name="Text Box 44">
          <a:extLst>
            <a:ext uri="{FF2B5EF4-FFF2-40B4-BE49-F238E27FC236}">
              <a16:creationId xmlns:a16="http://schemas.microsoft.com/office/drawing/2014/main" id="{00000000-0008-0000-0000-00002C040000}"/>
            </a:ext>
          </a:extLst>
        </xdr:cNvPr>
        <xdr:cNvSpPr txBox="1">
          <a:spLocks noChangeArrowheads="1"/>
        </xdr:cNvSpPr>
      </xdr:nvSpPr>
      <xdr:spPr bwMode="auto">
        <a:xfrm>
          <a:off x="7289628" y="3192474"/>
          <a:ext cx="1861381" cy="343015"/>
        </a:xfrm>
        <a:prstGeom prst="rect">
          <a:avLst/>
        </a:prstGeom>
        <a:noFill/>
        <a:ln w="9525" algn="ctr">
          <a:noFill/>
          <a:miter lim="800000"/>
          <a:headEnd/>
          <a:tailEnd/>
        </a:ln>
        <a:effectLst/>
      </xdr:spPr>
      <xdr:txBody>
        <a:bodyPr vertOverflow="clip" wrap="square" lIns="36576" tIns="32004" rIns="36576" bIns="0" anchor="t" upright="1"/>
        <a:lstStyle/>
        <a:p>
          <a:pPr algn="ctr" rtl="0">
            <a:defRPr sz="1000"/>
          </a:pPr>
          <a:r>
            <a:rPr lang="en-AU" sz="1400" b="1" i="0" u="none" strike="noStrike" baseline="0">
              <a:solidFill>
                <a:sysClr val="windowText" lastClr="000000"/>
              </a:solidFill>
              <a:latin typeface="Arial"/>
              <a:cs typeface="Arial"/>
            </a:rPr>
            <a:t>Guidance Material</a:t>
          </a:r>
        </a:p>
      </xdr:txBody>
    </xdr:sp>
    <xdr:clientData/>
  </xdr:twoCellAnchor>
  <xdr:twoCellAnchor>
    <xdr:from>
      <xdr:col>9</xdr:col>
      <xdr:colOff>419881</xdr:colOff>
      <xdr:row>14</xdr:row>
      <xdr:rowOff>160348</xdr:rowOff>
    </xdr:from>
    <xdr:to>
      <xdr:col>15</xdr:col>
      <xdr:colOff>311429</xdr:colOff>
      <xdr:row>18</xdr:row>
      <xdr:rowOff>81705</xdr:rowOff>
    </xdr:to>
    <xdr:sp macro="" textlink="">
      <xdr:nvSpPr>
        <xdr:cNvPr id="1075" name="AutoShape 51" descr="help">
          <a:hlinkClick xmlns:r="http://schemas.openxmlformats.org/officeDocument/2006/relationships" r:id="rId3"/>
          <a:extLst>
            <a:ext uri="{FF2B5EF4-FFF2-40B4-BE49-F238E27FC236}">
              <a16:creationId xmlns:a16="http://schemas.microsoft.com/office/drawing/2014/main" id="{00000000-0008-0000-0000-000033040000}"/>
            </a:ext>
          </a:extLst>
        </xdr:cNvPr>
        <xdr:cNvSpPr>
          <a:spLocks noChangeArrowheads="1"/>
        </xdr:cNvSpPr>
      </xdr:nvSpPr>
      <xdr:spPr bwMode="auto">
        <a:xfrm>
          <a:off x="6311774" y="4800384"/>
          <a:ext cx="3647119" cy="560892"/>
        </a:xfrm>
        <a:prstGeom prst="roundRect">
          <a:avLst>
            <a:gd name="adj" fmla="val 21741"/>
          </a:avLst>
        </a:prstGeom>
        <a:solidFill>
          <a:srgbClr val="C08F81"/>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tx1"/>
              </a:solidFill>
              <a:latin typeface="Arial"/>
              <a:cs typeface="Arial"/>
            </a:rPr>
            <a:t>Help screen</a:t>
          </a:r>
        </a:p>
      </xdr:txBody>
    </xdr:sp>
    <xdr:clientData/>
  </xdr:twoCellAnchor>
  <xdr:twoCellAnchor>
    <xdr:from>
      <xdr:col>9</xdr:col>
      <xdr:colOff>419881</xdr:colOff>
      <xdr:row>21</xdr:row>
      <xdr:rowOff>114957</xdr:rowOff>
    </xdr:from>
    <xdr:to>
      <xdr:col>15</xdr:col>
      <xdr:colOff>311429</xdr:colOff>
      <xdr:row>25</xdr:row>
      <xdr:rowOff>33069</xdr:rowOff>
    </xdr:to>
    <xdr:sp macro="" textlink="">
      <xdr:nvSpPr>
        <xdr:cNvPr id="1076" name="AutoShape 52" descr="help">
          <a:hlinkClick xmlns:r="http://schemas.openxmlformats.org/officeDocument/2006/relationships" r:id="rId4"/>
          <a:extLst>
            <a:ext uri="{FF2B5EF4-FFF2-40B4-BE49-F238E27FC236}">
              <a16:creationId xmlns:a16="http://schemas.microsoft.com/office/drawing/2014/main" id="{00000000-0008-0000-0000-000034040000}"/>
            </a:ext>
          </a:extLst>
        </xdr:cNvPr>
        <xdr:cNvSpPr>
          <a:spLocks noChangeArrowheads="1"/>
        </xdr:cNvSpPr>
      </xdr:nvSpPr>
      <xdr:spPr bwMode="auto">
        <a:xfrm>
          <a:off x="6311774" y="5884386"/>
          <a:ext cx="3647119" cy="571254"/>
        </a:xfrm>
        <a:prstGeom prst="roundRect">
          <a:avLst>
            <a:gd name="adj" fmla="val 21741"/>
          </a:avLst>
        </a:prstGeom>
        <a:solidFill>
          <a:srgbClr val="C08F81"/>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tx1"/>
              </a:solidFill>
              <a:latin typeface="Arial"/>
              <a:cs typeface="Arial"/>
            </a:rPr>
            <a:t>Worksheet</a:t>
          </a:r>
        </a:p>
      </xdr:txBody>
    </xdr:sp>
    <xdr:clientData/>
  </xdr:twoCellAnchor>
  <xdr:twoCellAnchor editAs="oneCell">
    <xdr:from>
      <xdr:col>0</xdr:col>
      <xdr:colOff>0</xdr:colOff>
      <xdr:row>0</xdr:row>
      <xdr:rowOff>0</xdr:rowOff>
    </xdr:from>
    <xdr:to>
      <xdr:col>18</xdr:col>
      <xdr:colOff>17318</xdr:colOff>
      <xdr:row>1</xdr:row>
      <xdr:rowOff>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11464636" cy="2112818"/>
        </a:xfrm>
        <a:prstGeom prst="rect">
          <a:avLst/>
        </a:prstGeom>
      </xdr:spPr>
    </xdr:pic>
    <xdr:clientData/>
  </xdr:twoCellAnchor>
  <xdr:oneCellAnchor>
    <xdr:from>
      <xdr:col>1</xdr:col>
      <xdr:colOff>69100</xdr:colOff>
      <xdr:row>0</xdr:row>
      <xdr:rowOff>318757</xdr:rowOff>
    </xdr:from>
    <xdr:ext cx="722807" cy="1017003"/>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4207" y="318757"/>
          <a:ext cx="722807" cy="1017003"/>
        </a:xfrm>
        <a:prstGeom prst="rect">
          <a:avLst/>
        </a:prstGeom>
      </xdr:spPr>
    </xdr:pic>
    <xdr:clientData/>
  </xdr:oneCellAnchor>
  <xdr:twoCellAnchor>
    <xdr:from>
      <xdr:col>2</xdr:col>
      <xdr:colOff>535579</xdr:colOff>
      <xdr:row>0</xdr:row>
      <xdr:rowOff>651616</xdr:rowOff>
    </xdr:from>
    <xdr:to>
      <xdr:col>14</xdr:col>
      <xdr:colOff>390734</xdr:colOff>
      <xdr:row>0</xdr:row>
      <xdr:rowOff>1590675</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886397" y="651616"/>
          <a:ext cx="7353928" cy="939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2400">
              <a:solidFill>
                <a:schemeClr val="bg1"/>
              </a:solidFill>
              <a:latin typeface="Arial" panose="020B0604020202020204" pitchFamily="34" charset="0"/>
              <a:cs typeface="Arial" panose="020B0604020202020204" pitchFamily="34" charset="0"/>
            </a:rPr>
            <a:t>Lighting </a:t>
          </a:r>
          <a:endParaRPr lang="en-US" sz="2400" baseline="0">
            <a:solidFill>
              <a:schemeClr val="bg1"/>
            </a:solidFill>
            <a:latin typeface="Arial" panose="020B0604020202020204" pitchFamily="34" charset="0"/>
            <a:cs typeface="Arial" panose="020B0604020202020204" pitchFamily="34" charset="0"/>
          </a:endParaRPr>
        </a:p>
        <a:p>
          <a:pPr algn="ctr">
            <a:lnSpc>
              <a:spcPct val="75000"/>
            </a:lnSpc>
          </a:pPr>
          <a:br>
            <a:rPr lang="en-US" sz="1400" baseline="0">
              <a:solidFill>
                <a:schemeClr val="bg1"/>
              </a:solidFill>
              <a:latin typeface="Arial" panose="020B0604020202020204" pitchFamily="34" charset="0"/>
              <a:cs typeface="Arial" panose="020B0604020202020204" pitchFamily="34" charset="0"/>
            </a:rPr>
          </a:br>
          <a:r>
            <a:rPr lang="en-US" sz="1400" baseline="0">
              <a:solidFill>
                <a:schemeClr val="bg1"/>
              </a:solidFill>
              <a:latin typeface="Arial" panose="020B0604020202020204" pitchFamily="34" charset="0"/>
              <a:cs typeface="Arial" panose="020B0604020202020204" pitchFamily="34" charset="0"/>
            </a:rPr>
            <a:t>Main Menu</a:t>
          </a:r>
          <a:endParaRPr lang="en-US" sz="2400">
            <a:solidFill>
              <a:schemeClr val="bg1"/>
            </a:solidFill>
            <a:latin typeface="Arial" panose="020B0604020202020204" pitchFamily="34" charset="0"/>
            <a:cs typeface="Arial" panose="020B0604020202020204" pitchFamily="34" charset="0"/>
          </a:endParaRPr>
        </a:p>
      </xdr:txBody>
    </xdr:sp>
    <xdr:clientData/>
  </xdr:twoCellAnchor>
  <xdr:oneCellAnchor>
    <xdr:from>
      <xdr:col>14</xdr:col>
      <xdr:colOff>304015</xdr:colOff>
      <xdr:row>0</xdr:row>
      <xdr:rowOff>288975</xdr:rowOff>
    </xdr:from>
    <xdr:ext cx="1714500" cy="624086"/>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153606" y="288975"/>
          <a:ext cx="1714500" cy="624086"/>
        </a:xfrm>
        <a:prstGeom prst="rect">
          <a:avLst/>
        </a:prstGeom>
      </xdr:spPr>
    </xdr:pic>
    <xdr:clientData/>
  </xdr:oneCellAnchor>
  <xdr:twoCellAnchor editAs="oneCell">
    <xdr:from>
      <xdr:col>16</xdr:col>
      <xdr:colOff>104028</xdr:colOff>
      <xdr:row>0</xdr:row>
      <xdr:rowOff>1281546</xdr:rowOff>
    </xdr:from>
    <xdr:to>
      <xdr:col>17</xdr:col>
      <xdr:colOff>92202</xdr:colOff>
      <xdr:row>0</xdr:row>
      <xdr:rowOff>1856541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0373710" y="1281546"/>
          <a:ext cx="576992" cy="574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8700655</xdr:colOff>
      <xdr:row>3</xdr:row>
      <xdr:rowOff>151966</xdr:rowOff>
    </xdr:from>
    <xdr:to>
      <xdr:col>3</xdr:col>
      <xdr:colOff>10741855</xdr:colOff>
      <xdr:row>5</xdr:row>
      <xdr:rowOff>56919</xdr:rowOff>
    </xdr:to>
    <xdr:sp macro="" textlink="">
      <xdr:nvSpPr>
        <xdr:cNvPr id="12882" name="AutoShape 594" descr="help">
          <a:hlinkClick xmlns:r="http://schemas.openxmlformats.org/officeDocument/2006/relationships" r:id="rId1"/>
          <a:extLst>
            <a:ext uri="{FF2B5EF4-FFF2-40B4-BE49-F238E27FC236}">
              <a16:creationId xmlns:a16="http://schemas.microsoft.com/office/drawing/2014/main" id="{00000000-0008-0000-0100-000052320000}"/>
            </a:ext>
          </a:extLst>
        </xdr:cNvPr>
        <xdr:cNvSpPr>
          <a:spLocks noChangeArrowheads="1"/>
        </xdr:cNvSpPr>
      </xdr:nvSpPr>
      <xdr:spPr bwMode="auto">
        <a:xfrm>
          <a:off x="9393382" y="2992148"/>
          <a:ext cx="2041200" cy="355226"/>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1" i="0" u="none" strike="noStrike" baseline="0">
              <a:solidFill>
                <a:schemeClr val="tx1"/>
              </a:solidFill>
              <a:latin typeface="Arial"/>
              <a:cs typeface="Arial"/>
            </a:rPr>
            <a:t>Main Menu</a:t>
          </a:r>
        </a:p>
      </xdr:txBody>
    </xdr:sp>
    <xdr:clientData/>
  </xdr:twoCellAnchor>
  <xdr:twoCellAnchor>
    <xdr:from>
      <xdr:col>3</xdr:col>
      <xdr:colOff>8700655</xdr:colOff>
      <xdr:row>27</xdr:row>
      <xdr:rowOff>71436</xdr:rowOff>
    </xdr:from>
    <xdr:to>
      <xdr:col>3</xdr:col>
      <xdr:colOff>10741855</xdr:colOff>
      <xdr:row>28</xdr:row>
      <xdr:rowOff>214515</xdr:rowOff>
    </xdr:to>
    <xdr:sp macro="" textlink="">
      <xdr:nvSpPr>
        <xdr:cNvPr id="22528" name="AutoShape 1024" descr="help">
          <a:hlinkClick xmlns:r="http://schemas.openxmlformats.org/officeDocument/2006/relationships" r:id="rId2"/>
          <a:extLst>
            <a:ext uri="{FF2B5EF4-FFF2-40B4-BE49-F238E27FC236}">
              <a16:creationId xmlns:a16="http://schemas.microsoft.com/office/drawing/2014/main" id="{00000000-0008-0000-0100-000000580000}"/>
            </a:ext>
          </a:extLst>
        </xdr:cNvPr>
        <xdr:cNvSpPr>
          <a:spLocks noChangeArrowheads="1"/>
        </xdr:cNvSpPr>
      </xdr:nvSpPr>
      <xdr:spPr bwMode="auto">
        <a:xfrm>
          <a:off x="9393382" y="15190209"/>
          <a:ext cx="2041200" cy="368215"/>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a:cs typeface="Arial"/>
            </a:rPr>
            <a:t>Screenshot 1</a:t>
          </a:r>
        </a:p>
      </xdr:txBody>
    </xdr:sp>
    <xdr:clientData/>
  </xdr:twoCellAnchor>
  <xdr:twoCellAnchor>
    <xdr:from>
      <xdr:col>3</xdr:col>
      <xdr:colOff>8700655</xdr:colOff>
      <xdr:row>32</xdr:row>
      <xdr:rowOff>71437</xdr:rowOff>
    </xdr:from>
    <xdr:to>
      <xdr:col>3</xdr:col>
      <xdr:colOff>10741855</xdr:colOff>
      <xdr:row>33</xdr:row>
      <xdr:rowOff>214515</xdr:rowOff>
    </xdr:to>
    <xdr:sp macro="" textlink="">
      <xdr:nvSpPr>
        <xdr:cNvPr id="22529" name="AutoShape 1025" descr="help">
          <a:hlinkClick xmlns:r="http://schemas.openxmlformats.org/officeDocument/2006/relationships" r:id="rId3"/>
          <a:extLst>
            <a:ext uri="{FF2B5EF4-FFF2-40B4-BE49-F238E27FC236}">
              <a16:creationId xmlns:a16="http://schemas.microsoft.com/office/drawing/2014/main" id="{00000000-0008-0000-0100-000001580000}"/>
            </a:ext>
          </a:extLst>
        </xdr:cNvPr>
        <xdr:cNvSpPr>
          <a:spLocks noChangeArrowheads="1"/>
        </xdr:cNvSpPr>
      </xdr:nvSpPr>
      <xdr:spPr bwMode="auto">
        <a:xfrm>
          <a:off x="9393382" y="18238210"/>
          <a:ext cx="2041200" cy="368214"/>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a:cs typeface="Arial"/>
            </a:rPr>
            <a:t>Screenshot 2</a:t>
          </a:r>
        </a:p>
      </xdr:txBody>
    </xdr:sp>
    <xdr:clientData/>
  </xdr:twoCellAnchor>
  <xdr:twoCellAnchor>
    <xdr:from>
      <xdr:col>3</xdr:col>
      <xdr:colOff>8700655</xdr:colOff>
      <xdr:row>37</xdr:row>
      <xdr:rowOff>42860</xdr:rowOff>
    </xdr:from>
    <xdr:to>
      <xdr:col>3</xdr:col>
      <xdr:colOff>10741855</xdr:colOff>
      <xdr:row>38</xdr:row>
      <xdr:rowOff>185938</xdr:rowOff>
    </xdr:to>
    <xdr:sp macro="" textlink="">
      <xdr:nvSpPr>
        <xdr:cNvPr id="22530" name="AutoShape 1026" descr="help">
          <a:hlinkClick xmlns:r="http://schemas.openxmlformats.org/officeDocument/2006/relationships" r:id="rId4"/>
          <a:extLst>
            <a:ext uri="{FF2B5EF4-FFF2-40B4-BE49-F238E27FC236}">
              <a16:creationId xmlns:a16="http://schemas.microsoft.com/office/drawing/2014/main" id="{00000000-0008-0000-0100-000002580000}"/>
            </a:ext>
          </a:extLst>
        </xdr:cNvPr>
        <xdr:cNvSpPr>
          <a:spLocks noChangeArrowheads="1"/>
        </xdr:cNvSpPr>
      </xdr:nvSpPr>
      <xdr:spPr bwMode="auto">
        <a:xfrm>
          <a:off x="9393382" y="20928587"/>
          <a:ext cx="2041200" cy="368215"/>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a:cs typeface="Arial"/>
            </a:rPr>
            <a:t>Screenshot 3</a:t>
          </a:r>
        </a:p>
      </xdr:txBody>
    </xdr:sp>
    <xdr:clientData/>
  </xdr:twoCellAnchor>
  <xdr:twoCellAnchor>
    <xdr:from>
      <xdr:col>3</xdr:col>
      <xdr:colOff>8700655</xdr:colOff>
      <xdr:row>44</xdr:row>
      <xdr:rowOff>61910</xdr:rowOff>
    </xdr:from>
    <xdr:to>
      <xdr:col>3</xdr:col>
      <xdr:colOff>10741855</xdr:colOff>
      <xdr:row>45</xdr:row>
      <xdr:rowOff>204988</xdr:rowOff>
    </xdr:to>
    <xdr:sp macro="" textlink="">
      <xdr:nvSpPr>
        <xdr:cNvPr id="6" name="AutoShape 1026" descr="help">
          <a:hlinkClick xmlns:r="http://schemas.openxmlformats.org/officeDocument/2006/relationships" r:id="rId5"/>
          <a:extLst>
            <a:ext uri="{FF2B5EF4-FFF2-40B4-BE49-F238E27FC236}">
              <a16:creationId xmlns:a16="http://schemas.microsoft.com/office/drawing/2014/main" id="{00000000-0008-0000-0100-000006000000}"/>
            </a:ext>
          </a:extLst>
        </xdr:cNvPr>
        <xdr:cNvSpPr>
          <a:spLocks noChangeArrowheads="1"/>
        </xdr:cNvSpPr>
      </xdr:nvSpPr>
      <xdr:spPr bwMode="auto">
        <a:xfrm>
          <a:off x="9393382" y="23857092"/>
          <a:ext cx="2041200" cy="368214"/>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a:cs typeface="Arial"/>
            </a:rPr>
            <a:t>Screenshot 4</a:t>
          </a:r>
        </a:p>
      </xdr:txBody>
    </xdr:sp>
    <xdr:clientData/>
  </xdr:twoCellAnchor>
  <xdr:twoCellAnchor editAs="oneCell">
    <xdr:from>
      <xdr:col>0</xdr:col>
      <xdr:colOff>0</xdr:colOff>
      <xdr:row>0</xdr:row>
      <xdr:rowOff>0</xdr:rowOff>
    </xdr:from>
    <xdr:to>
      <xdr:col>4</xdr:col>
      <xdr:colOff>0</xdr:colOff>
      <xdr:row>1</xdr:row>
      <xdr:rowOff>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0"/>
          <a:ext cx="11481955" cy="2109107"/>
        </a:xfrm>
        <a:prstGeom prst="rect">
          <a:avLst/>
        </a:prstGeom>
      </xdr:spPr>
    </xdr:pic>
    <xdr:clientData/>
  </xdr:twoCellAnchor>
  <xdr:twoCellAnchor>
    <xdr:from>
      <xdr:col>2</xdr:col>
      <xdr:colOff>116231</xdr:colOff>
      <xdr:row>0</xdr:row>
      <xdr:rowOff>738207</xdr:rowOff>
    </xdr:from>
    <xdr:to>
      <xdr:col>3</xdr:col>
      <xdr:colOff>9970164</xdr:colOff>
      <xdr:row>0</xdr:row>
      <xdr:rowOff>1677266</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653095" y="738207"/>
          <a:ext cx="10009796" cy="939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2400">
              <a:solidFill>
                <a:schemeClr val="bg1"/>
              </a:solidFill>
              <a:latin typeface="Arial" panose="020B0604020202020204" pitchFamily="34" charset="0"/>
              <a:cs typeface="Arial" panose="020B0604020202020204" pitchFamily="34" charset="0"/>
            </a:rPr>
            <a:t>Lighting</a:t>
          </a:r>
          <a:endParaRPr lang="en-US" sz="2400" baseline="0">
            <a:solidFill>
              <a:schemeClr val="bg1"/>
            </a:solidFill>
            <a:latin typeface="Arial" panose="020B0604020202020204" pitchFamily="34" charset="0"/>
            <a:cs typeface="Arial" panose="020B0604020202020204" pitchFamily="34" charset="0"/>
          </a:endParaRPr>
        </a:p>
        <a:p>
          <a:pPr algn="ctr">
            <a:lnSpc>
              <a:spcPct val="75000"/>
            </a:lnSpc>
          </a:pPr>
          <a:br>
            <a:rPr lang="en-US" sz="1400" baseline="0">
              <a:solidFill>
                <a:schemeClr val="bg1"/>
              </a:solidFill>
              <a:latin typeface="Arial" panose="020B0604020202020204" pitchFamily="34" charset="0"/>
              <a:cs typeface="Arial" panose="020B0604020202020204" pitchFamily="34" charset="0"/>
            </a:rPr>
          </a:br>
          <a:r>
            <a:rPr lang="en-US" sz="1400" baseline="0">
              <a:solidFill>
                <a:schemeClr val="bg1"/>
              </a:solidFill>
              <a:latin typeface="Arial" panose="020B0604020202020204" pitchFamily="34" charset="0"/>
              <a:cs typeface="Arial" panose="020B0604020202020204" pitchFamily="34" charset="0"/>
            </a:rPr>
            <a:t>Help guide</a:t>
          </a:r>
          <a:endParaRPr lang="en-US" sz="2400">
            <a:solidFill>
              <a:schemeClr val="bg1"/>
            </a:solidFill>
            <a:latin typeface="Arial" panose="020B0604020202020204" pitchFamily="34" charset="0"/>
            <a:cs typeface="Arial" panose="020B0604020202020204" pitchFamily="34" charset="0"/>
          </a:endParaRPr>
        </a:p>
      </xdr:txBody>
    </xdr:sp>
    <xdr:clientData/>
  </xdr:twoCellAnchor>
  <xdr:oneCellAnchor>
    <xdr:from>
      <xdr:col>2</xdr:col>
      <xdr:colOff>122466</xdr:colOff>
      <xdr:row>0</xdr:row>
      <xdr:rowOff>329139</xdr:rowOff>
    </xdr:from>
    <xdr:ext cx="722807" cy="1017003"/>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39537" y="329139"/>
          <a:ext cx="722807" cy="1017003"/>
        </a:xfrm>
        <a:prstGeom prst="rect">
          <a:avLst/>
        </a:prstGeom>
      </xdr:spPr>
    </xdr:pic>
    <xdr:clientData/>
  </xdr:oneCellAnchor>
  <xdr:oneCellAnchor>
    <xdr:from>
      <xdr:col>3</xdr:col>
      <xdr:colOff>8426417</xdr:colOff>
      <xdr:row>0</xdr:row>
      <xdr:rowOff>299357</xdr:rowOff>
    </xdr:from>
    <xdr:ext cx="1714500" cy="624086"/>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106774" y="299357"/>
          <a:ext cx="1714500" cy="624086"/>
        </a:xfrm>
        <a:prstGeom prst="rect">
          <a:avLst/>
        </a:prstGeom>
      </xdr:spPr>
    </xdr:pic>
    <xdr:clientData/>
  </xdr:oneCellAnchor>
  <xdr:twoCellAnchor editAs="oneCell">
    <xdr:from>
      <xdr:col>3</xdr:col>
      <xdr:colOff>9641572</xdr:colOff>
      <xdr:row>0</xdr:row>
      <xdr:rowOff>1291928</xdr:rowOff>
    </xdr:from>
    <xdr:to>
      <xdr:col>3</xdr:col>
      <xdr:colOff>10219616</xdr:colOff>
      <xdr:row>0</xdr:row>
      <xdr:rowOff>1866923</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0321929" y="1291928"/>
          <a:ext cx="573282" cy="574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12</xdr:row>
      <xdr:rowOff>6926</xdr:rowOff>
    </xdr:from>
    <xdr:to>
      <xdr:col>81</xdr:col>
      <xdr:colOff>1887681</xdr:colOff>
      <xdr:row>18</xdr:row>
      <xdr:rowOff>44691</xdr:rowOff>
    </xdr:to>
    <xdr:sp macro="" textlink="">
      <xdr:nvSpPr>
        <xdr:cNvPr id="15372" name="Text Box 12">
          <a:extLst>
            <a:ext uri="{FF2B5EF4-FFF2-40B4-BE49-F238E27FC236}">
              <a16:creationId xmlns:a16="http://schemas.microsoft.com/office/drawing/2014/main" id="{00000000-0008-0000-0200-00000C3C0000}"/>
            </a:ext>
          </a:extLst>
        </xdr:cNvPr>
        <xdr:cNvSpPr txBox="1">
          <a:spLocks noChangeArrowheads="1"/>
        </xdr:cNvSpPr>
      </xdr:nvSpPr>
      <xdr:spPr bwMode="auto">
        <a:xfrm>
          <a:off x="16885227" y="1219199"/>
          <a:ext cx="9247909" cy="384128"/>
        </a:xfrm>
        <a:prstGeom prst="rect">
          <a:avLst/>
        </a:prstGeom>
        <a:solidFill>
          <a:srgbClr val="720205"/>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0" i="1" u="none" strike="noStrike" baseline="0">
              <a:solidFill>
                <a:srgbClr val="FFFFFF"/>
              </a:solidFill>
              <a:latin typeface="Arial"/>
              <a:cs typeface="Arial"/>
            </a:rPr>
            <a:t>Additional Information</a:t>
          </a:r>
        </a:p>
      </xdr:txBody>
    </xdr:sp>
    <xdr:clientData/>
  </xdr:twoCellAnchor>
  <xdr:twoCellAnchor>
    <xdr:from>
      <xdr:col>13</xdr:col>
      <xdr:colOff>0</xdr:colOff>
      <xdr:row>29</xdr:row>
      <xdr:rowOff>486103</xdr:rowOff>
    </xdr:from>
    <xdr:to>
      <xdr:col>16</xdr:col>
      <xdr:colOff>0</xdr:colOff>
      <xdr:row>30</xdr:row>
      <xdr:rowOff>650326</xdr:rowOff>
    </xdr:to>
    <xdr:sp macro="" textlink="$AV$31">
      <xdr:nvSpPr>
        <xdr:cNvPr id="15577" name="Text Box 218">
          <a:extLst>
            <a:ext uri="{FF2B5EF4-FFF2-40B4-BE49-F238E27FC236}">
              <a16:creationId xmlns:a16="http://schemas.microsoft.com/office/drawing/2014/main" id="{00000000-0008-0000-0200-0000D93C0000}"/>
            </a:ext>
          </a:extLst>
        </xdr:cNvPr>
        <xdr:cNvSpPr txBox="1">
          <a:spLocks noChangeArrowheads="1" noTextEdit="1"/>
        </xdr:cNvSpPr>
      </xdr:nvSpPr>
      <xdr:spPr bwMode="auto">
        <a:xfrm>
          <a:off x="10884776" y="4085896"/>
          <a:ext cx="2410810" cy="650327"/>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C526459-17C9-41ED-8F93-AB38271A427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31</xdr:row>
      <xdr:rowOff>0</xdr:rowOff>
    </xdr:from>
    <xdr:to>
      <xdr:col>16</xdr:col>
      <xdr:colOff>0</xdr:colOff>
      <xdr:row>31</xdr:row>
      <xdr:rowOff>321879</xdr:rowOff>
    </xdr:to>
    <xdr:sp macro="" textlink="$AV$32">
      <xdr:nvSpPr>
        <xdr:cNvPr id="15579" name="Text Box 219">
          <a:extLst>
            <a:ext uri="{FF2B5EF4-FFF2-40B4-BE49-F238E27FC236}">
              <a16:creationId xmlns:a16="http://schemas.microsoft.com/office/drawing/2014/main" id="{00000000-0008-0000-0200-0000DB3C0000}"/>
            </a:ext>
          </a:extLst>
        </xdr:cNvPr>
        <xdr:cNvSpPr txBox="1">
          <a:spLocks noChangeArrowheads="1" noTextEdit="1"/>
        </xdr:cNvSpPr>
      </xdr:nvSpPr>
      <xdr:spPr bwMode="auto">
        <a:xfrm>
          <a:off x="10884776" y="4736224"/>
          <a:ext cx="2410810" cy="32187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2D5720F-8042-48A2-8982-C284E0F2B92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31</xdr:row>
      <xdr:rowOff>321879</xdr:rowOff>
    </xdr:from>
    <xdr:to>
      <xdr:col>16</xdr:col>
      <xdr:colOff>0</xdr:colOff>
      <xdr:row>33</xdr:row>
      <xdr:rowOff>0</xdr:rowOff>
    </xdr:to>
    <xdr:sp macro="" textlink="$AV$33">
      <xdr:nvSpPr>
        <xdr:cNvPr id="15580" name="Text Box 221">
          <a:extLst>
            <a:ext uri="{FF2B5EF4-FFF2-40B4-BE49-F238E27FC236}">
              <a16:creationId xmlns:a16="http://schemas.microsoft.com/office/drawing/2014/main" id="{00000000-0008-0000-0200-0000DC3C0000}"/>
            </a:ext>
          </a:extLst>
        </xdr:cNvPr>
        <xdr:cNvSpPr txBox="1">
          <a:spLocks noChangeArrowheads="1" noTextEdit="1"/>
        </xdr:cNvSpPr>
      </xdr:nvSpPr>
      <xdr:spPr bwMode="auto">
        <a:xfrm>
          <a:off x="10884776" y="5058103"/>
          <a:ext cx="2410810" cy="321880"/>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7DF1BCC-D51C-4C94-AA18-C2F8D950A10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33</xdr:row>
      <xdr:rowOff>0</xdr:rowOff>
    </xdr:from>
    <xdr:to>
      <xdr:col>16</xdr:col>
      <xdr:colOff>0</xdr:colOff>
      <xdr:row>34</xdr:row>
      <xdr:rowOff>0</xdr:rowOff>
    </xdr:to>
    <xdr:sp macro="" textlink="$AV$34">
      <xdr:nvSpPr>
        <xdr:cNvPr id="15582" name="Text Box 222">
          <a:extLst>
            <a:ext uri="{FF2B5EF4-FFF2-40B4-BE49-F238E27FC236}">
              <a16:creationId xmlns:a16="http://schemas.microsoft.com/office/drawing/2014/main" id="{00000000-0008-0000-0200-0000DE3C0000}"/>
            </a:ext>
          </a:extLst>
        </xdr:cNvPr>
        <xdr:cNvSpPr txBox="1">
          <a:spLocks noChangeArrowheads="1" noTextEdit="1"/>
        </xdr:cNvSpPr>
      </xdr:nvSpPr>
      <xdr:spPr bwMode="auto">
        <a:xfrm>
          <a:off x="10884776" y="5379983"/>
          <a:ext cx="2410810" cy="32187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4586C7-2379-4A18-9943-F314D80B56D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34</xdr:row>
      <xdr:rowOff>0</xdr:rowOff>
    </xdr:from>
    <xdr:to>
      <xdr:col>15</xdr:col>
      <xdr:colOff>952500</xdr:colOff>
      <xdr:row>35</xdr:row>
      <xdr:rowOff>0</xdr:rowOff>
    </xdr:to>
    <xdr:sp macro="" textlink="$AV$35">
      <xdr:nvSpPr>
        <xdr:cNvPr id="15583" name="Text Box 223">
          <a:extLst>
            <a:ext uri="{FF2B5EF4-FFF2-40B4-BE49-F238E27FC236}">
              <a16:creationId xmlns:a16="http://schemas.microsoft.com/office/drawing/2014/main" id="{00000000-0008-0000-0200-0000DF3C0000}"/>
            </a:ext>
          </a:extLst>
        </xdr:cNvPr>
        <xdr:cNvSpPr txBox="1">
          <a:spLocks noChangeArrowheads="1" noTextEdit="1"/>
        </xdr:cNvSpPr>
      </xdr:nvSpPr>
      <xdr:spPr bwMode="auto">
        <a:xfrm>
          <a:off x="10894979" y="4401766"/>
          <a:ext cx="2407595" cy="162128"/>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A9F7047-6E97-4DE0-9D82-0000E24662B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35</xdr:row>
      <xdr:rowOff>0</xdr:rowOff>
    </xdr:from>
    <xdr:to>
      <xdr:col>16</xdr:col>
      <xdr:colOff>0</xdr:colOff>
      <xdr:row>36</xdr:row>
      <xdr:rowOff>0</xdr:rowOff>
    </xdr:to>
    <xdr:sp macro="" textlink="$AV$36">
      <xdr:nvSpPr>
        <xdr:cNvPr id="15584" name="Text Box 224">
          <a:extLst>
            <a:ext uri="{FF2B5EF4-FFF2-40B4-BE49-F238E27FC236}">
              <a16:creationId xmlns:a16="http://schemas.microsoft.com/office/drawing/2014/main" id="{00000000-0008-0000-0200-0000E03C0000}"/>
            </a:ext>
          </a:extLst>
        </xdr:cNvPr>
        <xdr:cNvSpPr txBox="1">
          <a:spLocks noChangeArrowheads="1" noTextEdit="1"/>
        </xdr:cNvSpPr>
      </xdr:nvSpPr>
      <xdr:spPr bwMode="auto">
        <a:xfrm>
          <a:off x="10884776" y="586608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70B25386-0CBA-40EB-B5B9-7A4433B1F6F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36</xdr:row>
      <xdr:rowOff>0</xdr:rowOff>
    </xdr:from>
    <xdr:to>
      <xdr:col>16</xdr:col>
      <xdr:colOff>0</xdr:colOff>
      <xdr:row>36</xdr:row>
      <xdr:rowOff>312964</xdr:rowOff>
    </xdr:to>
    <xdr:sp macro="" textlink="$AV$37">
      <xdr:nvSpPr>
        <xdr:cNvPr id="15585" name="Text Box 225">
          <a:extLst>
            <a:ext uri="{FF2B5EF4-FFF2-40B4-BE49-F238E27FC236}">
              <a16:creationId xmlns:a16="http://schemas.microsoft.com/office/drawing/2014/main" id="{00000000-0008-0000-0200-0000E13C0000}"/>
            </a:ext>
          </a:extLst>
        </xdr:cNvPr>
        <xdr:cNvSpPr txBox="1">
          <a:spLocks noChangeArrowheads="1" noTextEdit="1"/>
        </xdr:cNvSpPr>
      </xdr:nvSpPr>
      <xdr:spPr bwMode="auto">
        <a:xfrm>
          <a:off x="12749893" y="8926286"/>
          <a:ext cx="3578678" cy="31296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36</xdr:row>
      <xdr:rowOff>464344</xdr:rowOff>
    </xdr:from>
    <xdr:to>
      <xdr:col>16</xdr:col>
      <xdr:colOff>0</xdr:colOff>
      <xdr:row>38</xdr:row>
      <xdr:rowOff>0</xdr:rowOff>
    </xdr:to>
    <xdr:sp macro="" textlink="$AV$38">
      <xdr:nvSpPr>
        <xdr:cNvPr id="15586" name="Text Box 226">
          <a:extLst>
            <a:ext uri="{FF2B5EF4-FFF2-40B4-BE49-F238E27FC236}">
              <a16:creationId xmlns:a16="http://schemas.microsoft.com/office/drawing/2014/main" id="{00000000-0008-0000-0200-0000E23C0000}"/>
            </a:ext>
          </a:extLst>
        </xdr:cNvPr>
        <xdr:cNvSpPr txBox="1">
          <a:spLocks noChangeArrowheads="1" noTextEdit="1"/>
        </xdr:cNvSpPr>
      </xdr:nvSpPr>
      <xdr:spPr bwMode="auto">
        <a:xfrm>
          <a:off x="10751344" y="6143625"/>
          <a:ext cx="2405062" cy="345281"/>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38</xdr:row>
      <xdr:rowOff>0</xdr:rowOff>
    </xdr:from>
    <xdr:to>
      <xdr:col>16</xdr:col>
      <xdr:colOff>0</xdr:colOff>
      <xdr:row>39</xdr:row>
      <xdr:rowOff>0</xdr:rowOff>
    </xdr:to>
    <xdr:sp macro="" textlink="$AV$39">
      <xdr:nvSpPr>
        <xdr:cNvPr id="15587" name="Text Box 227">
          <a:extLst>
            <a:ext uri="{FF2B5EF4-FFF2-40B4-BE49-F238E27FC236}">
              <a16:creationId xmlns:a16="http://schemas.microsoft.com/office/drawing/2014/main" id="{00000000-0008-0000-0200-0000E33C0000}"/>
            </a:ext>
          </a:extLst>
        </xdr:cNvPr>
        <xdr:cNvSpPr txBox="1">
          <a:spLocks noChangeArrowheads="1" noTextEdit="1"/>
        </xdr:cNvSpPr>
      </xdr:nvSpPr>
      <xdr:spPr bwMode="auto">
        <a:xfrm>
          <a:off x="10884776" y="635875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36486D7C-ABB4-48ED-BB0B-6478058B86B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39</xdr:row>
      <xdr:rowOff>0</xdr:rowOff>
    </xdr:from>
    <xdr:to>
      <xdr:col>16</xdr:col>
      <xdr:colOff>0</xdr:colOff>
      <xdr:row>40</xdr:row>
      <xdr:rowOff>0</xdr:rowOff>
    </xdr:to>
    <xdr:sp macro="" textlink="$AV$40">
      <xdr:nvSpPr>
        <xdr:cNvPr id="15588" name="Text Box 228">
          <a:extLst>
            <a:ext uri="{FF2B5EF4-FFF2-40B4-BE49-F238E27FC236}">
              <a16:creationId xmlns:a16="http://schemas.microsoft.com/office/drawing/2014/main" id="{00000000-0008-0000-0200-0000E43C0000}"/>
            </a:ext>
          </a:extLst>
        </xdr:cNvPr>
        <xdr:cNvSpPr txBox="1">
          <a:spLocks noChangeArrowheads="1" noTextEdit="1"/>
        </xdr:cNvSpPr>
      </xdr:nvSpPr>
      <xdr:spPr bwMode="auto">
        <a:xfrm>
          <a:off x="10884776" y="6522983"/>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BCB4049B-359F-4F27-895D-059ACF10033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40</xdr:row>
      <xdr:rowOff>0</xdr:rowOff>
    </xdr:from>
    <xdr:to>
      <xdr:col>16</xdr:col>
      <xdr:colOff>0</xdr:colOff>
      <xdr:row>41</xdr:row>
      <xdr:rowOff>0</xdr:rowOff>
    </xdr:to>
    <xdr:sp macro="" textlink="$AV$41">
      <xdr:nvSpPr>
        <xdr:cNvPr id="15589" name="Text Box 229">
          <a:extLst>
            <a:ext uri="{FF2B5EF4-FFF2-40B4-BE49-F238E27FC236}">
              <a16:creationId xmlns:a16="http://schemas.microsoft.com/office/drawing/2014/main" id="{00000000-0008-0000-0200-0000E53C0000}"/>
            </a:ext>
          </a:extLst>
        </xdr:cNvPr>
        <xdr:cNvSpPr txBox="1">
          <a:spLocks noChangeArrowheads="1" noTextEdit="1"/>
        </xdr:cNvSpPr>
      </xdr:nvSpPr>
      <xdr:spPr bwMode="auto">
        <a:xfrm>
          <a:off x="10884776" y="668720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B2420E13-2918-40DA-9286-ACD25EDACD4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41</xdr:row>
      <xdr:rowOff>0</xdr:rowOff>
    </xdr:from>
    <xdr:to>
      <xdr:col>16</xdr:col>
      <xdr:colOff>0</xdr:colOff>
      <xdr:row>42</xdr:row>
      <xdr:rowOff>0</xdr:rowOff>
    </xdr:to>
    <xdr:sp macro="" textlink="$AV$42">
      <xdr:nvSpPr>
        <xdr:cNvPr id="15590" name="Text Box 230">
          <a:extLst>
            <a:ext uri="{FF2B5EF4-FFF2-40B4-BE49-F238E27FC236}">
              <a16:creationId xmlns:a16="http://schemas.microsoft.com/office/drawing/2014/main" id="{00000000-0008-0000-0200-0000E63C0000}"/>
            </a:ext>
          </a:extLst>
        </xdr:cNvPr>
        <xdr:cNvSpPr txBox="1">
          <a:spLocks noChangeArrowheads="1" noTextEdit="1"/>
        </xdr:cNvSpPr>
      </xdr:nvSpPr>
      <xdr:spPr bwMode="auto">
        <a:xfrm>
          <a:off x="10884776" y="6851431"/>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B9E370B-E0B4-4144-8FB0-4FEE96B6B8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42</xdr:row>
      <xdr:rowOff>0</xdr:rowOff>
    </xdr:from>
    <xdr:to>
      <xdr:col>16</xdr:col>
      <xdr:colOff>0</xdr:colOff>
      <xdr:row>43</xdr:row>
      <xdr:rowOff>0</xdr:rowOff>
    </xdr:to>
    <xdr:sp macro="" textlink="$AV$43">
      <xdr:nvSpPr>
        <xdr:cNvPr id="15591" name="Text Box 231">
          <a:extLst>
            <a:ext uri="{FF2B5EF4-FFF2-40B4-BE49-F238E27FC236}">
              <a16:creationId xmlns:a16="http://schemas.microsoft.com/office/drawing/2014/main" id="{00000000-0008-0000-0200-0000E73C0000}"/>
            </a:ext>
          </a:extLst>
        </xdr:cNvPr>
        <xdr:cNvSpPr txBox="1">
          <a:spLocks noChangeArrowheads="1" noTextEdit="1"/>
        </xdr:cNvSpPr>
      </xdr:nvSpPr>
      <xdr:spPr bwMode="auto">
        <a:xfrm>
          <a:off x="10884776" y="7015655"/>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72314E8-9607-44ED-9156-9402EFE65AC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43</xdr:row>
      <xdr:rowOff>0</xdr:rowOff>
    </xdr:from>
    <xdr:to>
      <xdr:col>16</xdr:col>
      <xdr:colOff>0</xdr:colOff>
      <xdr:row>43</xdr:row>
      <xdr:rowOff>164224</xdr:rowOff>
    </xdr:to>
    <xdr:sp macro="" textlink="$AV$44">
      <xdr:nvSpPr>
        <xdr:cNvPr id="15592" name="Text Box 232">
          <a:extLst>
            <a:ext uri="{FF2B5EF4-FFF2-40B4-BE49-F238E27FC236}">
              <a16:creationId xmlns:a16="http://schemas.microsoft.com/office/drawing/2014/main" id="{00000000-0008-0000-0200-0000E83C0000}"/>
            </a:ext>
          </a:extLst>
        </xdr:cNvPr>
        <xdr:cNvSpPr txBox="1">
          <a:spLocks noChangeArrowheads="1" noTextEdit="1"/>
        </xdr:cNvSpPr>
      </xdr:nvSpPr>
      <xdr:spPr bwMode="auto">
        <a:xfrm>
          <a:off x="10884776" y="717987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4D56439C-EB55-4812-B6AC-C4A5950FBB7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43</xdr:row>
      <xdr:rowOff>164224</xdr:rowOff>
    </xdr:from>
    <xdr:to>
      <xdr:col>16</xdr:col>
      <xdr:colOff>0</xdr:colOff>
      <xdr:row>45</xdr:row>
      <xdr:rowOff>0</xdr:rowOff>
    </xdr:to>
    <xdr:sp macro="" textlink="$AV$45">
      <xdr:nvSpPr>
        <xdr:cNvPr id="15593" name="Text Box 233">
          <a:extLst>
            <a:ext uri="{FF2B5EF4-FFF2-40B4-BE49-F238E27FC236}">
              <a16:creationId xmlns:a16="http://schemas.microsoft.com/office/drawing/2014/main" id="{00000000-0008-0000-0200-0000E93C0000}"/>
            </a:ext>
          </a:extLst>
        </xdr:cNvPr>
        <xdr:cNvSpPr txBox="1">
          <a:spLocks noChangeArrowheads="1" noTextEdit="1"/>
        </xdr:cNvSpPr>
      </xdr:nvSpPr>
      <xdr:spPr bwMode="auto">
        <a:xfrm>
          <a:off x="10884776" y="7344103"/>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569DEF8-CE14-4E64-BB54-7289489016D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45</xdr:row>
      <xdr:rowOff>0</xdr:rowOff>
    </xdr:from>
    <xdr:to>
      <xdr:col>16</xdr:col>
      <xdr:colOff>0</xdr:colOff>
      <xdr:row>46</xdr:row>
      <xdr:rowOff>0</xdr:rowOff>
    </xdr:to>
    <xdr:sp macro="" textlink="$AV$46">
      <xdr:nvSpPr>
        <xdr:cNvPr id="15594" name="Text Box 234">
          <a:extLst>
            <a:ext uri="{FF2B5EF4-FFF2-40B4-BE49-F238E27FC236}">
              <a16:creationId xmlns:a16="http://schemas.microsoft.com/office/drawing/2014/main" id="{00000000-0008-0000-0200-0000EA3C0000}"/>
            </a:ext>
          </a:extLst>
        </xdr:cNvPr>
        <xdr:cNvSpPr txBox="1">
          <a:spLocks noChangeArrowheads="1" noTextEdit="1"/>
        </xdr:cNvSpPr>
      </xdr:nvSpPr>
      <xdr:spPr bwMode="auto">
        <a:xfrm>
          <a:off x="10884776" y="7508328"/>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0DBE0BDA-5231-4875-B1A4-5F7612379CB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46</xdr:row>
      <xdr:rowOff>0</xdr:rowOff>
    </xdr:from>
    <xdr:to>
      <xdr:col>16</xdr:col>
      <xdr:colOff>0</xdr:colOff>
      <xdr:row>47</xdr:row>
      <xdr:rowOff>0</xdr:rowOff>
    </xdr:to>
    <xdr:sp macro="" textlink="$AV$47">
      <xdr:nvSpPr>
        <xdr:cNvPr id="15595" name="Text Box 235">
          <a:extLst>
            <a:ext uri="{FF2B5EF4-FFF2-40B4-BE49-F238E27FC236}">
              <a16:creationId xmlns:a16="http://schemas.microsoft.com/office/drawing/2014/main" id="{00000000-0008-0000-0200-0000EB3C0000}"/>
            </a:ext>
          </a:extLst>
        </xdr:cNvPr>
        <xdr:cNvSpPr txBox="1">
          <a:spLocks noChangeArrowheads="1" noTextEdit="1"/>
        </xdr:cNvSpPr>
      </xdr:nvSpPr>
      <xdr:spPr bwMode="auto">
        <a:xfrm>
          <a:off x="10884776" y="7672552"/>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8362FCDF-D05B-4305-A8B3-E18B8487CEE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47</xdr:row>
      <xdr:rowOff>0</xdr:rowOff>
    </xdr:from>
    <xdr:to>
      <xdr:col>16</xdr:col>
      <xdr:colOff>0</xdr:colOff>
      <xdr:row>48</xdr:row>
      <xdr:rowOff>0</xdr:rowOff>
    </xdr:to>
    <xdr:sp macro="" textlink="$AV$48">
      <xdr:nvSpPr>
        <xdr:cNvPr id="15596" name="Text Box 236">
          <a:extLst>
            <a:ext uri="{FF2B5EF4-FFF2-40B4-BE49-F238E27FC236}">
              <a16:creationId xmlns:a16="http://schemas.microsoft.com/office/drawing/2014/main" id="{00000000-0008-0000-0200-0000EC3C0000}"/>
            </a:ext>
          </a:extLst>
        </xdr:cNvPr>
        <xdr:cNvSpPr txBox="1">
          <a:spLocks noChangeArrowheads="1" noTextEdit="1"/>
        </xdr:cNvSpPr>
      </xdr:nvSpPr>
      <xdr:spPr bwMode="auto">
        <a:xfrm>
          <a:off x="10884776" y="783677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9ED98561-886F-4904-9E39-F4D28915CF9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48</xdr:row>
      <xdr:rowOff>0</xdr:rowOff>
    </xdr:from>
    <xdr:to>
      <xdr:col>16</xdr:col>
      <xdr:colOff>0</xdr:colOff>
      <xdr:row>49</xdr:row>
      <xdr:rowOff>0</xdr:rowOff>
    </xdr:to>
    <xdr:sp macro="" textlink="$AV$49">
      <xdr:nvSpPr>
        <xdr:cNvPr id="15597" name="Text Box 237">
          <a:extLst>
            <a:ext uri="{FF2B5EF4-FFF2-40B4-BE49-F238E27FC236}">
              <a16:creationId xmlns:a16="http://schemas.microsoft.com/office/drawing/2014/main" id="{00000000-0008-0000-0200-0000ED3C0000}"/>
            </a:ext>
          </a:extLst>
        </xdr:cNvPr>
        <xdr:cNvSpPr txBox="1">
          <a:spLocks noChangeArrowheads="1" noTextEdit="1"/>
        </xdr:cNvSpPr>
      </xdr:nvSpPr>
      <xdr:spPr bwMode="auto">
        <a:xfrm>
          <a:off x="10884776" y="800100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A69D29C-F918-44F1-AC1A-E27DDF31AA5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49</xdr:row>
      <xdr:rowOff>0</xdr:rowOff>
    </xdr:from>
    <xdr:to>
      <xdr:col>16</xdr:col>
      <xdr:colOff>0</xdr:colOff>
      <xdr:row>50</xdr:row>
      <xdr:rowOff>0</xdr:rowOff>
    </xdr:to>
    <xdr:sp macro="" textlink="$AV$50">
      <xdr:nvSpPr>
        <xdr:cNvPr id="15598" name="Text Box 238">
          <a:extLst>
            <a:ext uri="{FF2B5EF4-FFF2-40B4-BE49-F238E27FC236}">
              <a16:creationId xmlns:a16="http://schemas.microsoft.com/office/drawing/2014/main" id="{00000000-0008-0000-0200-0000EE3C0000}"/>
            </a:ext>
          </a:extLst>
        </xdr:cNvPr>
        <xdr:cNvSpPr txBox="1">
          <a:spLocks noChangeArrowheads="1" noTextEdit="1"/>
        </xdr:cNvSpPr>
      </xdr:nvSpPr>
      <xdr:spPr bwMode="auto">
        <a:xfrm>
          <a:off x="10884776" y="8165224"/>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B0ACF13-1548-458A-B80F-D8549C04A94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50</xdr:row>
      <xdr:rowOff>1</xdr:rowOff>
    </xdr:from>
    <xdr:to>
      <xdr:col>16</xdr:col>
      <xdr:colOff>0</xdr:colOff>
      <xdr:row>50</xdr:row>
      <xdr:rowOff>164224</xdr:rowOff>
    </xdr:to>
    <xdr:sp macro="" textlink="$AV$51">
      <xdr:nvSpPr>
        <xdr:cNvPr id="15599" name="Text Box 239">
          <a:extLst>
            <a:ext uri="{FF2B5EF4-FFF2-40B4-BE49-F238E27FC236}">
              <a16:creationId xmlns:a16="http://schemas.microsoft.com/office/drawing/2014/main" id="{00000000-0008-0000-0200-0000EF3C0000}"/>
            </a:ext>
          </a:extLst>
        </xdr:cNvPr>
        <xdr:cNvSpPr txBox="1">
          <a:spLocks noChangeArrowheads="1" noTextEdit="1"/>
        </xdr:cNvSpPr>
      </xdr:nvSpPr>
      <xdr:spPr bwMode="auto">
        <a:xfrm>
          <a:off x="10884776" y="8329449"/>
          <a:ext cx="2410810" cy="164223"/>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2E5A9282-6DCD-41C9-873F-A5B09976E1D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50</xdr:row>
      <xdr:rowOff>164223</xdr:rowOff>
    </xdr:from>
    <xdr:to>
      <xdr:col>16</xdr:col>
      <xdr:colOff>0</xdr:colOff>
      <xdr:row>51</xdr:row>
      <xdr:rowOff>164224</xdr:rowOff>
    </xdr:to>
    <xdr:sp macro="" textlink="$AV$52">
      <xdr:nvSpPr>
        <xdr:cNvPr id="15600" name="Text Box 240">
          <a:extLst>
            <a:ext uri="{FF2B5EF4-FFF2-40B4-BE49-F238E27FC236}">
              <a16:creationId xmlns:a16="http://schemas.microsoft.com/office/drawing/2014/main" id="{00000000-0008-0000-0200-0000F03C0000}"/>
            </a:ext>
          </a:extLst>
        </xdr:cNvPr>
        <xdr:cNvSpPr txBox="1">
          <a:spLocks noChangeArrowheads="1" noTextEdit="1"/>
        </xdr:cNvSpPr>
      </xdr:nvSpPr>
      <xdr:spPr bwMode="auto">
        <a:xfrm>
          <a:off x="10884776" y="8493671"/>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2798FC6-0BDB-441E-8926-48DCB517A8C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52</xdr:row>
      <xdr:rowOff>0</xdr:rowOff>
    </xdr:from>
    <xdr:to>
      <xdr:col>16</xdr:col>
      <xdr:colOff>0</xdr:colOff>
      <xdr:row>53</xdr:row>
      <xdr:rowOff>0</xdr:rowOff>
    </xdr:to>
    <xdr:sp macro="" textlink="$AV$53">
      <xdr:nvSpPr>
        <xdr:cNvPr id="15601" name="Text Box 241">
          <a:extLst>
            <a:ext uri="{FF2B5EF4-FFF2-40B4-BE49-F238E27FC236}">
              <a16:creationId xmlns:a16="http://schemas.microsoft.com/office/drawing/2014/main" id="{00000000-0008-0000-0200-0000F13C0000}"/>
            </a:ext>
          </a:extLst>
        </xdr:cNvPr>
        <xdr:cNvSpPr txBox="1">
          <a:spLocks noChangeArrowheads="1" noTextEdit="1"/>
        </xdr:cNvSpPr>
      </xdr:nvSpPr>
      <xdr:spPr bwMode="auto">
        <a:xfrm>
          <a:off x="10884776" y="865789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E3D94FD0-7D2B-41E6-A736-D4FBBA77EDD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53</xdr:row>
      <xdr:rowOff>0</xdr:rowOff>
    </xdr:from>
    <xdr:to>
      <xdr:col>16</xdr:col>
      <xdr:colOff>0</xdr:colOff>
      <xdr:row>54</xdr:row>
      <xdr:rowOff>0</xdr:rowOff>
    </xdr:to>
    <xdr:sp macro="" textlink="$AV$54">
      <xdr:nvSpPr>
        <xdr:cNvPr id="15602" name="Text Box 242">
          <a:extLst>
            <a:ext uri="{FF2B5EF4-FFF2-40B4-BE49-F238E27FC236}">
              <a16:creationId xmlns:a16="http://schemas.microsoft.com/office/drawing/2014/main" id="{00000000-0008-0000-0200-0000F23C0000}"/>
            </a:ext>
          </a:extLst>
        </xdr:cNvPr>
        <xdr:cNvSpPr txBox="1">
          <a:spLocks noChangeArrowheads="1" noTextEdit="1"/>
        </xdr:cNvSpPr>
      </xdr:nvSpPr>
      <xdr:spPr bwMode="auto">
        <a:xfrm>
          <a:off x="10884776" y="8822121"/>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F2554653-8428-44AF-B680-381F8C827F2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54</xdr:row>
      <xdr:rowOff>0</xdr:rowOff>
    </xdr:from>
    <xdr:to>
      <xdr:col>16</xdr:col>
      <xdr:colOff>0</xdr:colOff>
      <xdr:row>55</xdr:row>
      <xdr:rowOff>0</xdr:rowOff>
    </xdr:to>
    <xdr:sp macro="" textlink="$AV$55">
      <xdr:nvSpPr>
        <xdr:cNvPr id="15603" name="Text Box 243">
          <a:extLst>
            <a:ext uri="{FF2B5EF4-FFF2-40B4-BE49-F238E27FC236}">
              <a16:creationId xmlns:a16="http://schemas.microsoft.com/office/drawing/2014/main" id="{00000000-0008-0000-0200-0000F33C0000}"/>
            </a:ext>
          </a:extLst>
        </xdr:cNvPr>
        <xdr:cNvSpPr txBox="1">
          <a:spLocks noChangeArrowheads="1" noTextEdit="1"/>
        </xdr:cNvSpPr>
      </xdr:nvSpPr>
      <xdr:spPr bwMode="auto">
        <a:xfrm>
          <a:off x="10884776" y="8986345"/>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074FA182-BFB8-4967-A2F0-9228891A0BA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55</xdr:row>
      <xdr:rowOff>0</xdr:rowOff>
    </xdr:from>
    <xdr:to>
      <xdr:col>16</xdr:col>
      <xdr:colOff>0</xdr:colOff>
      <xdr:row>56</xdr:row>
      <xdr:rowOff>0</xdr:rowOff>
    </xdr:to>
    <xdr:sp macro="" textlink="$AV$56">
      <xdr:nvSpPr>
        <xdr:cNvPr id="15604" name="Text Box 244">
          <a:extLst>
            <a:ext uri="{FF2B5EF4-FFF2-40B4-BE49-F238E27FC236}">
              <a16:creationId xmlns:a16="http://schemas.microsoft.com/office/drawing/2014/main" id="{00000000-0008-0000-0200-0000F43C0000}"/>
            </a:ext>
          </a:extLst>
        </xdr:cNvPr>
        <xdr:cNvSpPr txBox="1">
          <a:spLocks noChangeArrowheads="1" noTextEdit="1"/>
        </xdr:cNvSpPr>
      </xdr:nvSpPr>
      <xdr:spPr bwMode="auto">
        <a:xfrm>
          <a:off x="10884776" y="915056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BF55D83-4F1B-44AD-9155-FF87B40C668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56</xdr:row>
      <xdr:rowOff>0</xdr:rowOff>
    </xdr:from>
    <xdr:to>
      <xdr:col>16</xdr:col>
      <xdr:colOff>0</xdr:colOff>
      <xdr:row>57</xdr:row>
      <xdr:rowOff>0</xdr:rowOff>
    </xdr:to>
    <xdr:sp macro="" textlink="$AV$57">
      <xdr:nvSpPr>
        <xdr:cNvPr id="15605" name="Text Box 245">
          <a:extLst>
            <a:ext uri="{FF2B5EF4-FFF2-40B4-BE49-F238E27FC236}">
              <a16:creationId xmlns:a16="http://schemas.microsoft.com/office/drawing/2014/main" id="{00000000-0008-0000-0200-0000F53C0000}"/>
            </a:ext>
          </a:extLst>
        </xdr:cNvPr>
        <xdr:cNvSpPr txBox="1">
          <a:spLocks noChangeArrowheads="1" noTextEdit="1"/>
        </xdr:cNvSpPr>
      </xdr:nvSpPr>
      <xdr:spPr bwMode="auto">
        <a:xfrm>
          <a:off x="10884776" y="9314793"/>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947CC26-0E9F-470D-8894-889CCC7E730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57</xdr:row>
      <xdr:rowOff>0</xdr:rowOff>
    </xdr:from>
    <xdr:to>
      <xdr:col>16</xdr:col>
      <xdr:colOff>0</xdr:colOff>
      <xdr:row>57</xdr:row>
      <xdr:rowOff>164224</xdr:rowOff>
    </xdr:to>
    <xdr:sp macro="" textlink="$AV$58">
      <xdr:nvSpPr>
        <xdr:cNvPr id="15606" name="Text Box 246">
          <a:extLst>
            <a:ext uri="{FF2B5EF4-FFF2-40B4-BE49-F238E27FC236}">
              <a16:creationId xmlns:a16="http://schemas.microsoft.com/office/drawing/2014/main" id="{00000000-0008-0000-0200-0000F63C0000}"/>
            </a:ext>
          </a:extLst>
        </xdr:cNvPr>
        <xdr:cNvSpPr txBox="1">
          <a:spLocks noChangeArrowheads="1" noTextEdit="1"/>
        </xdr:cNvSpPr>
      </xdr:nvSpPr>
      <xdr:spPr bwMode="auto">
        <a:xfrm>
          <a:off x="10884776" y="947901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36CAF01-C50A-42CD-9D8E-2CEC8B69371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57</xdr:row>
      <xdr:rowOff>164224</xdr:rowOff>
    </xdr:from>
    <xdr:to>
      <xdr:col>16</xdr:col>
      <xdr:colOff>0</xdr:colOff>
      <xdr:row>59</xdr:row>
      <xdr:rowOff>0</xdr:rowOff>
    </xdr:to>
    <xdr:sp macro="" textlink="$AV$59">
      <xdr:nvSpPr>
        <xdr:cNvPr id="15607" name="Text Box 247">
          <a:extLst>
            <a:ext uri="{FF2B5EF4-FFF2-40B4-BE49-F238E27FC236}">
              <a16:creationId xmlns:a16="http://schemas.microsoft.com/office/drawing/2014/main" id="{00000000-0008-0000-0200-0000F73C0000}"/>
            </a:ext>
          </a:extLst>
        </xdr:cNvPr>
        <xdr:cNvSpPr txBox="1">
          <a:spLocks noChangeArrowheads="1" noTextEdit="1"/>
        </xdr:cNvSpPr>
      </xdr:nvSpPr>
      <xdr:spPr bwMode="auto">
        <a:xfrm>
          <a:off x="10884776" y="9643241"/>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4EF60496-116F-4591-B533-DCD2BD17092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59</xdr:row>
      <xdr:rowOff>0</xdr:rowOff>
    </xdr:from>
    <xdr:to>
      <xdr:col>16</xdr:col>
      <xdr:colOff>0</xdr:colOff>
      <xdr:row>60</xdr:row>
      <xdr:rowOff>0</xdr:rowOff>
    </xdr:to>
    <xdr:sp macro="" textlink="$AV$60">
      <xdr:nvSpPr>
        <xdr:cNvPr id="15608" name="Text Box 248">
          <a:extLst>
            <a:ext uri="{FF2B5EF4-FFF2-40B4-BE49-F238E27FC236}">
              <a16:creationId xmlns:a16="http://schemas.microsoft.com/office/drawing/2014/main" id="{00000000-0008-0000-0200-0000F83C0000}"/>
            </a:ext>
          </a:extLst>
        </xdr:cNvPr>
        <xdr:cNvSpPr txBox="1">
          <a:spLocks noChangeArrowheads="1" noTextEdit="1"/>
        </xdr:cNvSpPr>
      </xdr:nvSpPr>
      <xdr:spPr bwMode="auto">
        <a:xfrm>
          <a:off x="10884776" y="980746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D0284FD-DF7D-49F2-A338-7725CB16ED3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60</xdr:row>
      <xdr:rowOff>0</xdr:rowOff>
    </xdr:from>
    <xdr:to>
      <xdr:col>16</xdr:col>
      <xdr:colOff>0</xdr:colOff>
      <xdr:row>61</xdr:row>
      <xdr:rowOff>0</xdr:rowOff>
    </xdr:to>
    <xdr:sp macro="" textlink="$AV$61">
      <xdr:nvSpPr>
        <xdr:cNvPr id="15609" name="Text Box 249">
          <a:extLst>
            <a:ext uri="{FF2B5EF4-FFF2-40B4-BE49-F238E27FC236}">
              <a16:creationId xmlns:a16="http://schemas.microsoft.com/office/drawing/2014/main" id="{00000000-0008-0000-0200-0000F93C0000}"/>
            </a:ext>
          </a:extLst>
        </xdr:cNvPr>
        <xdr:cNvSpPr txBox="1">
          <a:spLocks noChangeArrowheads="1" noTextEdit="1"/>
        </xdr:cNvSpPr>
      </xdr:nvSpPr>
      <xdr:spPr bwMode="auto">
        <a:xfrm>
          <a:off x="10884776" y="997169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1029B77-ADF9-4902-9128-277A6724EA2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61</xdr:row>
      <xdr:rowOff>0</xdr:rowOff>
    </xdr:from>
    <xdr:to>
      <xdr:col>16</xdr:col>
      <xdr:colOff>0</xdr:colOff>
      <xdr:row>62</xdr:row>
      <xdr:rowOff>0</xdr:rowOff>
    </xdr:to>
    <xdr:sp macro="" textlink="$AV$62">
      <xdr:nvSpPr>
        <xdr:cNvPr id="15610" name="Text Box 250">
          <a:extLst>
            <a:ext uri="{FF2B5EF4-FFF2-40B4-BE49-F238E27FC236}">
              <a16:creationId xmlns:a16="http://schemas.microsoft.com/office/drawing/2014/main" id="{00000000-0008-0000-0200-0000FA3C0000}"/>
            </a:ext>
          </a:extLst>
        </xdr:cNvPr>
        <xdr:cNvSpPr txBox="1">
          <a:spLocks noChangeArrowheads="1" noTextEdit="1"/>
        </xdr:cNvSpPr>
      </xdr:nvSpPr>
      <xdr:spPr bwMode="auto">
        <a:xfrm>
          <a:off x="10884776" y="10135914"/>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2E4A576F-4708-4C13-9EBB-36B15569952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62</xdr:row>
      <xdr:rowOff>0</xdr:rowOff>
    </xdr:from>
    <xdr:to>
      <xdr:col>16</xdr:col>
      <xdr:colOff>0</xdr:colOff>
      <xdr:row>63</xdr:row>
      <xdr:rowOff>0</xdr:rowOff>
    </xdr:to>
    <xdr:sp macro="" textlink="$AV$63">
      <xdr:nvSpPr>
        <xdr:cNvPr id="15611" name="Text Box 251">
          <a:extLst>
            <a:ext uri="{FF2B5EF4-FFF2-40B4-BE49-F238E27FC236}">
              <a16:creationId xmlns:a16="http://schemas.microsoft.com/office/drawing/2014/main" id="{00000000-0008-0000-0200-0000FB3C0000}"/>
            </a:ext>
          </a:extLst>
        </xdr:cNvPr>
        <xdr:cNvSpPr txBox="1">
          <a:spLocks noChangeArrowheads="1" noTextEdit="1"/>
        </xdr:cNvSpPr>
      </xdr:nvSpPr>
      <xdr:spPr bwMode="auto">
        <a:xfrm>
          <a:off x="10884776" y="10300138"/>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58859547-0414-4498-BB3D-4A05796D16C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63</xdr:row>
      <xdr:rowOff>0</xdr:rowOff>
    </xdr:from>
    <xdr:to>
      <xdr:col>16</xdr:col>
      <xdr:colOff>0</xdr:colOff>
      <xdr:row>64</xdr:row>
      <xdr:rowOff>0</xdr:rowOff>
    </xdr:to>
    <xdr:sp macro="" textlink="$AV$64">
      <xdr:nvSpPr>
        <xdr:cNvPr id="15612" name="Text Box 252">
          <a:extLst>
            <a:ext uri="{FF2B5EF4-FFF2-40B4-BE49-F238E27FC236}">
              <a16:creationId xmlns:a16="http://schemas.microsoft.com/office/drawing/2014/main" id="{00000000-0008-0000-0200-0000FC3C0000}"/>
            </a:ext>
          </a:extLst>
        </xdr:cNvPr>
        <xdr:cNvSpPr txBox="1">
          <a:spLocks noChangeArrowheads="1" noTextEdit="1"/>
        </xdr:cNvSpPr>
      </xdr:nvSpPr>
      <xdr:spPr bwMode="auto">
        <a:xfrm>
          <a:off x="10884776" y="10464362"/>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A65F135-F530-45A9-94C2-945928D1BCD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64</xdr:row>
      <xdr:rowOff>0</xdr:rowOff>
    </xdr:from>
    <xdr:to>
      <xdr:col>16</xdr:col>
      <xdr:colOff>0</xdr:colOff>
      <xdr:row>65</xdr:row>
      <xdr:rowOff>0</xdr:rowOff>
    </xdr:to>
    <xdr:sp macro="" textlink="$AV$65">
      <xdr:nvSpPr>
        <xdr:cNvPr id="15613" name="Text Box 253">
          <a:extLst>
            <a:ext uri="{FF2B5EF4-FFF2-40B4-BE49-F238E27FC236}">
              <a16:creationId xmlns:a16="http://schemas.microsoft.com/office/drawing/2014/main" id="{00000000-0008-0000-0200-0000FD3C0000}"/>
            </a:ext>
          </a:extLst>
        </xdr:cNvPr>
        <xdr:cNvSpPr txBox="1">
          <a:spLocks noChangeArrowheads="1" noTextEdit="1"/>
        </xdr:cNvSpPr>
      </xdr:nvSpPr>
      <xdr:spPr bwMode="auto">
        <a:xfrm>
          <a:off x="10884776" y="1062858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D8FF763-3E8A-4F85-9690-300C347C4E2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65</xdr:row>
      <xdr:rowOff>0</xdr:rowOff>
    </xdr:from>
    <xdr:to>
      <xdr:col>16</xdr:col>
      <xdr:colOff>0</xdr:colOff>
      <xdr:row>65</xdr:row>
      <xdr:rowOff>164224</xdr:rowOff>
    </xdr:to>
    <xdr:sp macro="" textlink="$AV$66">
      <xdr:nvSpPr>
        <xdr:cNvPr id="15614" name="Text Box 254">
          <a:extLst>
            <a:ext uri="{FF2B5EF4-FFF2-40B4-BE49-F238E27FC236}">
              <a16:creationId xmlns:a16="http://schemas.microsoft.com/office/drawing/2014/main" id="{00000000-0008-0000-0200-0000FE3C0000}"/>
            </a:ext>
          </a:extLst>
        </xdr:cNvPr>
        <xdr:cNvSpPr txBox="1">
          <a:spLocks noChangeArrowheads="1" noTextEdit="1"/>
        </xdr:cNvSpPr>
      </xdr:nvSpPr>
      <xdr:spPr bwMode="auto">
        <a:xfrm>
          <a:off x="10884776" y="1079281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F1F6424-B833-4869-8551-E5489F40186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65</xdr:row>
      <xdr:rowOff>164224</xdr:rowOff>
    </xdr:from>
    <xdr:to>
      <xdr:col>16</xdr:col>
      <xdr:colOff>0</xdr:colOff>
      <xdr:row>67</xdr:row>
      <xdr:rowOff>0</xdr:rowOff>
    </xdr:to>
    <xdr:sp macro="" textlink="$AV$67">
      <xdr:nvSpPr>
        <xdr:cNvPr id="15615" name="Text Box 255">
          <a:extLst>
            <a:ext uri="{FF2B5EF4-FFF2-40B4-BE49-F238E27FC236}">
              <a16:creationId xmlns:a16="http://schemas.microsoft.com/office/drawing/2014/main" id="{00000000-0008-0000-0200-0000FF3C0000}"/>
            </a:ext>
          </a:extLst>
        </xdr:cNvPr>
        <xdr:cNvSpPr txBox="1">
          <a:spLocks noChangeArrowheads="1" noTextEdit="1"/>
        </xdr:cNvSpPr>
      </xdr:nvSpPr>
      <xdr:spPr bwMode="auto">
        <a:xfrm>
          <a:off x="10884776" y="10957034"/>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3E657AD8-0D6A-4618-BF1E-DD0B7E5BEC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11906</xdr:colOff>
      <xdr:row>27</xdr:row>
      <xdr:rowOff>0</xdr:rowOff>
    </xdr:from>
    <xdr:to>
      <xdr:col>16</xdr:col>
      <xdr:colOff>11906</xdr:colOff>
      <xdr:row>28</xdr:row>
      <xdr:rowOff>0</xdr:rowOff>
    </xdr:to>
    <xdr:sp macro="" textlink="$AV$28">
      <xdr:nvSpPr>
        <xdr:cNvPr id="15629" name="Text Box 269">
          <a:extLst>
            <a:ext uri="{FF2B5EF4-FFF2-40B4-BE49-F238E27FC236}">
              <a16:creationId xmlns:a16="http://schemas.microsoft.com/office/drawing/2014/main" id="{00000000-0008-0000-0200-00000D3D0000}"/>
            </a:ext>
          </a:extLst>
        </xdr:cNvPr>
        <xdr:cNvSpPr txBox="1">
          <a:spLocks noChangeArrowheads="1" noTextEdit="1"/>
        </xdr:cNvSpPr>
      </xdr:nvSpPr>
      <xdr:spPr bwMode="auto">
        <a:xfrm>
          <a:off x="12156281" y="3181350"/>
          <a:ext cx="2409825" cy="1619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E493F13A-7748-45FE-8933-C8AE51FA1D02}" type="TxLink">
            <a:rPr lang="en-AU" sz="1000" b="1" i="1" u="none" strike="noStrike">
              <a:solidFill>
                <a:srgbClr val="FF0000"/>
              </a:solidFill>
              <a:latin typeface="Arial"/>
              <a:cs typeface="Arial"/>
            </a:rPr>
            <a:pPr algn="l"/>
            <a:t>Adjustment Factor is missing or inappropriate</a:t>
          </a:fld>
          <a:endParaRPr lang="en-AU" b="1" i="1">
            <a:solidFill>
              <a:srgbClr val="FF0000"/>
            </a:solidFill>
          </a:endParaRPr>
        </a:p>
      </xdr:txBody>
    </xdr:sp>
    <xdr:clientData/>
  </xdr:twoCellAnchor>
  <xdr:twoCellAnchor>
    <xdr:from>
      <xdr:col>2</xdr:col>
      <xdr:colOff>180976</xdr:colOff>
      <xdr:row>9</xdr:row>
      <xdr:rowOff>0</xdr:rowOff>
    </xdr:from>
    <xdr:to>
      <xdr:col>10</xdr:col>
      <xdr:colOff>0</xdr:colOff>
      <xdr:row>10</xdr:row>
      <xdr:rowOff>0</xdr:rowOff>
    </xdr:to>
    <xdr:sp macro="" textlink="$K$98">
      <xdr:nvSpPr>
        <xdr:cNvPr id="15636" name="Text Box 276">
          <a:extLst>
            <a:ext uri="{FF2B5EF4-FFF2-40B4-BE49-F238E27FC236}">
              <a16:creationId xmlns:a16="http://schemas.microsoft.com/office/drawing/2014/main" id="{00000000-0008-0000-0200-0000143D0000}"/>
            </a:ext>
          </a:extLst>
        </xdr:cNvPr>
        <xdr:cNvSpPr txBox="1">
          <a:spLocks noChangeArrowheads="1" noTextEdit="1"/>
        </xdr:cNvSpPr>
      </xdr:nvSpPr>
      <xdr:spPr bwMode="auto">
        <a:xfrm>
          <a:off x="357869" y="2789464"/>
          <a:ext cx="9017452" cy="231322"/>
        </a:xfrm>
        <a:prstGeom prst="rect">
          <a:avLst/>
        </a:prstGeom>
        <a:noFill/>
        <a:ln w="9525" algn="ctr">
          <a:noFill/>
          <a:miter lim="800000"/>
          <a:headEnd/>
          <a:tailEnd/>
        </a:ln>
        <a:effectLst/>
      </xdr:spPr>
      <xdr:txBody>
        <a:bodyPr lIns="72000" tIns="36000" rIns="0" bIns="36000" anchor="ctr"/>
        <a:lstStyle/>
        <a:p>
          <a:pPr algn="ctr"/>
          <a:fld id="{7FF4214F-EB21-4507-9046-0CEF435B1046}" type="TxLink">
            <a:rPr lang="en-US" sz="1000" b="0" i="0" u="none" strike="noStrike">
              <a:solidFill>
                <a:schemeClr val="bg1"/>
              </a:solidFill>
              <a:latin typeface="Arial"/>
              <a:cs typeface="Arial"/>
            </a:rPr>
            <a:pPr algn="ctr"/>
            <a:t> </a:t>
          </a:fld>
          <a:endParaRPr lang="en-AU" sz="950" b="1" i="1">
            <a:solidFill>
              <a:schemeClr val="bg1"/>
            </a:solidFill>
          </a:endParaRPr>
        </a:p>
      </xdr:txBody>
    </xdr:sp>
    <xdr:clientData/>
  </xdr:twoCellAnchor>
  <xdr:twoCellAnchor>
    <xdr:from>
      <xdr:col>11</xdr:col>
      <xdr:colOff>0</xdr:colOff>
      <xdr:row>9</xdr:row>
      <xdr:rowOff>13607</xdr:rowOff>
    </xdr:from>
    <xdr:to>
      <xdr:col>13</xdr:col>
      <xdr:colOff>0</xdr:colOff>
      <xdr:row>10</xdr:row>
      <xdr:rowOff>0</xdr:rowOff>
    </xdr:to>
    <xdr:sp macro="" textlink="$K$100">
      <xdr:nvSpPr>
        <xdr:cNvPr id="15639" name="Text Box 279">
          <a:extLst>
            <a:ext uri="{FF2B5EF4-FFF2-40B4-BE49-F238E27FC236}">
              <a16:creationId xmlns:a16="http://schemas.microsoft.com/office/drawing/2014/main" id="{00000000-0008-0000-0200-0000173D0000}"/>
            </a:ext>
          </a:extLst>
        </xdr:cNvPr>
        <xdr:cNvSpPr txBox="1">
          <a:spLocks noChangeArrowheads="1" noTextEdit="1"/>
        </xdr:cNvSpPr>
      </xdr:nvSpPr>
      <xdr:spPr bwMode="auto">
        <a:xfrm>
          <a:off x="10150929" y="2803071"/>
          <a:ext cx="2217964" cy="217715"/>
        </a:xfrm>
        <a:prstGeom prst="rect">
          <a:avLst/>
        </a:prstGeom>
        <a:noFill/>
        <a:ln w="9525" algn="ctr">
          <a:noFill/>
          <a:miter lim="800000"/>
          <a:headEnd/>
          <a:tailEnd/>
        </a:ln>
        <a:effectLst/>
      </xdr:spPr>
      <xdr:txBody>
        <a:bodyPr lIns="72000" tIns="36000" rIns="0" bIns="36000" anchor="ctr"/>
        <a:lstStyle/>
        <a:p>
          <a:pPr algn="l"/>
          <a:fld id="{8605587B-FB05-499C-AFBE-83FA745B302C}" type="TxLink">
            <a:rPr lang="en-AU" sz="1000" b="1" i="1" u="none" strike="noStrike">
              <a:solidFill>
                <a:srgbClr val="009900"/>
              </a:solidFill>
              <a:latin typeface="Arial"/>
              <a:cs typeface="Arial"/>
            </a:rPr>
            <a:pPr algn="l"/>
            <a:t> </a:t>
          </a:fld>
          <a:endParaRPr lang="en-AU" b="1" i="1">
            <a:solidFill>
              <a:srgbClr val="009900"/>
            </a:solidFill>
          </a:endParaRPr>
        </a:p>
      </xdr:txBody>
    </xdr:sp>
    <xdr:clientData/>
  </xdr:twoCellAnchor>
  <xdr:twoCellAnchor>
    <xdr:from>
      <xdr:col>3</xdr:col>
      <xdr:colOff>68035</xdr:colOff>
      <xdr:row>26</xdr:row>
      <xdr:rowOff>13607</xdr:rowOff>
    </xdr:from>
    <xdr:to>
      <xdr:col>4</xdr:col>
      <xdr:colOff>1476376</xdr:colOff>
      <xdr:row>26</xdr:row>
      <xdr:rowOff>171450</xdr:rowOff>
    </xdr:to>
    <xdr:sp macro="" textlink="$K$101">
      <xdr:nvSpPr>
        <xdr:cNvPr id="15641" name="Text Box 281">
          <a:extLst>
            <a:ext uri="{FF2B5EF4-FFF2-40B4-BE49-F238E27FC236}">
              <a16:creationId xmlns:a16="http://schemas.microsoft.com/office/drawing/2014/main" id="{00000000-0008-0000-0200-0000193D0000}"/>
            </a:ext>
          </a:extLst>
        </xdr:cNvPr>
        <xdr:cNvSpPr txBox="1">
          <a:spLocks noChangeArrowheads="1" noTextEdit="1"/>
        </xdr:cNvSpPr>
      </xdr:nvSpPr>
      <xdr:spPr bwMode="auto">
        <a:xfrm>
          <a:off x="449035" y="3004457"/>
          <a:ext cx="3113316" cy="157843"/>
        </a:xfrm>
        <a:prstGeom prst="rect">
          <a:avLst/>
        </a:prstGeom>
        <a:noFill/>
        <a:ln w="9525" algn="ctr">
          <a:noFill/>
          <a:miter lim="800000"/>
          <a:headEnd/>
          <a:tailEnd/>
        </a:ln>
        <a:effectLst/>
      </xdr:spPr>
      <xdr:txBody>
        <a:bodyPr anchor="ctr"/>
        <a:lstStyle/>
        <a:p>
          <a:fld id="{6099968D-274E-4630-8FAA-1A41F0CD734D}" type="TxLink">
            <a:rPr lang="en-AU" sz="1000" b="1" i="1" u="none" strike="noStrike">
              <a:solidFill>
                <a:srgbClr val="009900"/>
              </a:solidFill>
              <a:latin typeface="Arial"/>
              <a:cs typeface="Arial"/>
            </a:rPr>
            <a:pPr/>
            <a:t> </a:t>
          </a:fld>
          <a:endParaRPr lang="en-AU" b="1" i="1">
            <a:solidFill>
              <a:srgbClr val="009900"/>
            </a:solidFill>
          </a:endParaRPr>
        </a:p>
      </xdr:txBody>
    </xdr:sp>
    <xdr:clientData/>
  </xdr:twoCellAnchor>
  <xdr:twoCellAnchor>
    <xdr:from>
      <xdr:col>14</xdr:col>
      <xdr:colOff>0</xdr:colOff>
      <xdr:row>73</xdr:row>
      <xdr:rowOff>0</xdr:rowOff>
    </xdr:from>
    <xdr:to>
      <xdr:col>16</xdr:col>
      <xdr:colOff>0</xdr:colOff>
      <xdr:row>74</xdr:row>
      <xdr:rowOff>0</xdr:rowOff>
    </xdr:to>
    <xdr:sp macro="" textlink="">
      <xdr:nvSpPr>
        <xdr:cNvPr id="15750" name="Rectangle 390">
          <a:extLst>
            <a:ext uri="{FF2B5EF4-FFF2-40B4-BE49-F238E27FC236}">
              <a16:creationId xmlns:a16="http://schemas.microsoft.com/office/drawing/2014/main" id="{00000000-0008-0000-0200-0000863D0000}"/>
            </a:ext>
          </a:extLst>
        </xdr:cNvPr>
        <xdr:cNvSpPr>
          <a:spLocks noChangeArrowheads="1"/>
        </xdr:cNvSpPr>
      </xdr:nvSpPr>
      <xdr:spPr bwMode="auto">
        <a:xfrm>
          <a:off x="11382375" y="8229600"/>
          <a:ext cx="1666875" cy="962025"/>
        </a:xfrm>
        <a:prstGeom prst="rect">
          <a:avLst/>
        </a:prstGeom>
        <a:noFill/>
        <a:ln w="9525">
          <a:solidFill>
            <a:srgbClr val="000000"/>
          </a:solidFill>
          <a:miter lim="800000"/>
          <a:headEnd/>
          <a:tailEnd/>
        </a:ln>
        <a:effectLst>
          <a:outerShdw blurRad="50800" dist="38100" dir="2700000" algn="tl" rotWithShape="0">
            <a:prstClr val="black">
              <a:alpha val="40000"/>
            </a:prstClr>
          </a:outerShdw>
        </a:effectLst>
      </xdr:spPr>
      <xdr:txBody>
        <a:bodyPr/>
        <a:lstStyle/>
        <a:p>
          <a:endParaRPr lang="en-AU"/>
        </a:p>
      </xdr:txBody>
    </xdr:sp>
    <xdr:clientData/>
  </xdr:twoCellAnchor>
  <xdr:twoCellAnchor>
    <xdr:from>
      <xdr:col>13</xdr:col>
      <xdr:colOff>1</xdr:colOff>
      <xdr:row>28</xdr:row>
      <xdr:rowOff>1</xdr:rowOff>
    </xdr:from>
    <xdr:to>
      <xdr:col>16</xdr:col>
      <xdr:colOff>1</xdr:colOff>
      <xdr:row>29</xdr:row>
      <xdr:rowOff>1</xdr:rowOff>
    </xdr:to>
    <xdr:sp macro="" textlink="$AV$29">
      <xdr:nvSpPr>
        <xdr:cNvPr id="15866" name="Text Box 506">
          <a:extLst>
            <a:ext uri="{FF2B5EF4-FFF2-40B4-BE49-F238E27FC236}">
              <a16:creationId xmlns:a16="http://schemas.microsoft.com/office/drawing/2014/main" id="{00000000-0008-0000-0200-0000FA3D0000}"/>
            </a:ext>
          </a:extLst>
        </xdr:cNvPr>
        <xdr:cNvSpPr txBox="1">
          <a:spLocks noChangeArrowheads="1" noTextEdit="1"/>
        </xdr:cNvSpPr>
      </xdr:nvSpPr>
      <xdr:spPr bwMode="auto">
        <a:xfrm>
          <a:off x="10751345" y="3250407"/>
          <a:ext cx="2405062" cy="32146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40204B8-F1A6-4278-8A9A-1B4F36D2117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29</xdr:row>
      <xdr:rowOff>0</xdr:rowOff>
    </xdr:from>
    <xdr:to>
      <xdr:col>16</xdr:col>
      <xdr:colOff>0</xdr:colOff>
      <xdr:row>30</xdr:row>
      <xdr:rowOff>0</xdr:rowOff>
    </xdr:to>
    <xdr:sp macro="" textlink="$AV$30">
      <xdr:nvSpPr>
        <xdr:cNvPr id="15867" name="Text Box 509">
          <a:extLst>
            <a:ext uri="{FF2B5EF4-FFF2-40B4-BE49-F238E27FC236}">
              <a16:creationId xmlns:a16="http://schemas.microsoft.com/office/drawing/2014/main" id="{00000000-0008-0000-0200-0000FB3D0000}"/>
            </a:ext>
          </a:extLst>
        </xdr:cNvPr>
        <xdr:cNvSpPr txBox="1">
          <a:spLocks noChangeArrowheads="1" noTextEdit="1"/>
        </xdr:cNvSpPr>
      </xdr:nvSpPr>
      <xdr:spPr bwMode="auto">
        <a:xfrm>
          <a:off x="10884776" y="3599793"/>
          <a:ext cx="2410810" cy="48610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504EDC99-EF5F-430D-8C24-F35FADAC51F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12</xdr:row>
      <xdr:rowOff>0</xdr:rowOff>
    </xdr:from>
    <xdr:to>
      <xdr:col>16</xdr:col>
      <xdr:colOff>0</xdr:colOff>
      <xdr:row>19</xdr:row>
      <xdr:rowOff>0</xdr:rowOff>
    </xdr:to>
    <xdr:sp macro="" textlink="$H$118">
      <xdr:nvSpPr>
        <xdr:cNvPr id="53" name="TextBox 52">
          <a:extLst>
            <a:ext uri="{FF2B5EF4-FFF2-40B4-BE49-F238E27FC236}">
              <a16:creationId xmlns:a16="http://schemas.microsoft.com/office/drawing/2014/main" id="{00000000-0008-0000-0200-000035000000}"/>
            </a:ext>
          </a:extLst>
        </xdr:cNvPr>
        <xdr:cNvSpPr txBox="1"/>
      </xdr:nvSpPr>
      <xdr:spPr>
        <a:xfrm>
          <a:off x="9027583" y="1058333"/>
          <a:ext cx="3989917" cy="63500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lIns="108000" tIns="0" rIns="36000" bIns="0" rtlCol="0" anchor="ctr"/>
        <a:lstStyle/>
        <a:p>
          <a:fld id="{77FE4DC5-7257-4486-92DB-65389AE24F82}" type="TxLink">
            <a:rPr lang="en-US" sz="1000" b="1" i="1" u="none" strike="noStrike">
              <a:solidFill>
                <a:sysClr val="windowText" lastClr="000000"/>
              </a:solidFill>
              <a:latin typeface="Arial"/>
              <a:cs typeface="Arial"/>
            </a:rPr>
            <a:pPr/>
            <a:t>Separate aggregate allowances are calculated for Class 1, 2 or 4 cases; for a verandah or balcony; or for a Class 10 building. The '% of Allowance Used' outcomes refer to these aggregate allowances.</a:t>
          </a:fld>
          <a:endParaRPr lang="en-AU" sz="1100" b="1" i="1">
            <a:solidFill>
              <a:sysClr val="windowText" lastClr="000000"/>
            </a:solidFill>
          </a:endParaRPr>
        </a:p>
      </xdr:txBody>
    </xdr:sp>
    <xdr:clientData/>
  </xdr:twoCellAnchor>
  <xdr:twoCellAnchor>
    <xdr:from>
      <xdr:col>51</xdr:col>
      <xdr:colOff>371474</xdr:colOff>
      <xdr:row>17</xdr:row>
      <xdr:rowOff>76201</xdr:rowOff>
    </xdr:from>
    <xdr:to>
      <xdr:col>53</xdr:col>
      <xdr:colOff>38099</xdr:colOff>
      <xdr:row>21</xdr:row>
      <xdr:rowOff>95248</xdr:rowOff>
    </xdr:to>
    <xdr:sp macro="" textlink="">
      <xdr:nvSpPr>
        <xdr:cNvPr id="54" name="Rounded Rectangular Callout 53">
          <a:extLst>
            <a:ext uri="{FF2B5EF4-FFF2-40B4-BE49-F238E27FC236}">
              <a16:creationId xmlns:a16="http://schemas.microsoft.com/office/drawing/2014/main" id="{00000000-0008-0000-0200-000036000000}"/>
            </a:ext>
          </a:extLst>
        </xdr:cNvPr>
        <xdr:cNvSpPr/>
      </xdr:nvSpPr>
      <xdr:spPr bwMode="auto">
        <a:xfrm>
          <a:off x="53606699" y="2019301"/>
          <a:ext cx="1495425" cy="847722"/>
        </a:xfrm>
        <a:prstGeom prst="wedgeRoundRectCallout">
          <a:avLst>
            <a:gd name="adj1" fmla="val -41852"/>
            <a:gd name="adj2" fmla="val 112376"/>
            <a:gd name="adj3" fmla="val 16667"/>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wrap="square" lIns="18288" tIns="0" rIns="0" bIns="0" rtlCol="0" anchor="ctr" upright="1"/>
        <a:lstStyle/>
        <a:p>
          <a:pPr algn="l"/>
          <a:r>
            <a:rPr lang="en-AU" sz="1100"/>
            <a:t>Probably obsolete</a:t>
          </a:r>
          <a:r>
            <a:rPr lang="en-AU" sz="1100" baseline="0"/>
            <a:t> after change to  N21. Check if used in  conditional formats.</a:t>
          </a:r>
          <a:endParaRPr lang="en-AU" sz="1100"/>
        </a:p>
      </xdr:txBody>
    </xdr:sp>
    <xdr:clientData/>
  </xdr:twoCellAnchor>
  <xdr:twoCellAnchor>
    <xdr:from>
      <xdr:col>53</xdr:col>
      <xdr:colOff>247650</xdr:colOff>
      <xdr:row>11</xdr:row>
      <xdr:rowOff>47626</xdr:rowOff>
    </xdr:from>
    <xdr:to>
      <xdr:col>54</xdr:col>
      <xdr:colOff>447676</xdr:colOff>
      <xdr:row>20</xdr:row>
      <xdr:rowOff>66673</xdr:rowOff>
    </xdr:to>
    <xdr:sp macro="" textlink="">
      <xdr:nvSpPr>
        <xdr:cNvPr id="56" name="Rounded Rectangular Callout 55">
          <a:extLst>
            <a:ext uri="{FF2B5EF4-FFF2-40B4-BE49-F238E27FC236}">
              <a16:creationId xmlns:a16="http://schemas.microsoft.com/office/drawing/2014/main" id="{00000000-0008-0000-0200-000038000000}"/>
            </a:ext>
          </a:extLst>
        </xdr:cNvPr>
        <xdr:cNvSpPr/>
      </xdr:nvSpPr>
      <xdr:spPr bwMode="auto">
        <a:xfrm>
          <a:off x="55311675" y="1828801"/>
          <a:ext cx="1114426" cy="847722"/>
        </a:xfrm>
        <a:prstGeom prst="wedgeRoundRectCallout">
          <a:avLst>
            <a:gd name="adj1" fmla="val -41852"/>
            <a:gd name="adj2" fmla="val 112376"/>
            <a:gd name="adj3" fmla="val 16667"/>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wrap="square" lIns="18288" tIns="0" rIns="0" bIns="0" rtlCol="0" anchor="ctr" upright="1"/>
        <a:lstStyle/>
        <a:p>
          <a:pPr algn="l"/>
          <a:r>
            <a:rPr lang="en-AU" sz="1100"/>
            <a:t>Obsolete.  </a:t>
          </a:r>
        </a:p>
        <a:p>
          <a:pPr algn="l"/>
          <a:r>
            <a:rPr lang="en-AU" sz="1100"/>
            <a:t>Use BS and BT.</a:t>
          </a:r>
          <a:r>
            <a:rPr lang="en-AU" sz="1100" baseline="0"/>
            <a:t> </a:t>
          </a:r>
          <a:endParaRPr lang="en-AU" sz="1100"/>
        </a:p>
      </xdr:txBody>
    </xdr:sp>
    <xdr:clientData/>
  </xdr:twoCellAnchor>
  <xdr:twoCellAnchor>
    <xdr:from>
      <xdr:col>0</xdr:col>
      <xdr:colOff>0</xdr:colOff>
      <xdr:row>23</xdr:row>
      <xdr:rowOff>0</xdr:rowOff>
    </xdr:from>
    <xdr:to>
      <xdr:col>3</xdr:col>
      <xdr:colOff>0</xdr:colOff>
      <xdr:row>26</xdr:row>
      <xdr:rowOff>68036</xdr:rowOff>
    </xdr:to>
    <xdr:sp macro="" textlink="B86">
      <xdr:nvSpPr>
        <xdr:cNvPr id="3" name="Rectangle 2">
          <a:extLst>
            <a:ext uri="{FF2B5EF4-FFF2-40B4-BE49-F238E27FC236}">
              <a16:creationId xmlns:a16="http://schemas.microsoft.com/office/drawing/2014/main" id="{00000000-0008-0000-0200-000003000000}"/>
            </a:ext>
          </a:extLst>
        </xdr:cNvPr>
        <xdr:cNvSpPr/>
      </xdr:nvSpPr>
      <xdr:spPr bwMode="auto">
        <a:xfrm>
          <a:off x="0" y="4435929"/>
          <a:ext cx="476250" cy="1469571"/>
        </a:xfrm>
        <a:prstGeom prst="rect">
          <a:avLst/>
        </a:prstGeom>
        <a:noFill/>
        <a:ln w="9525" cap="flat" cmpd="sng" algn="ctr">
          <a:noFill/>
          <a:prstDash val="solid"/>
          <a:round/>
          <a:headEnd type="none" w="med" len="med"/>
          <a:tailEnd type="none" w="med" len="med"/>
        </a:ln>
        <a:effectLst/>
      </xdr:spPr>
      <xdr:txBody>
        <a:bodyPr vertOverflow="clip" horzOverflow="clip" wrap="square" lIns="0" tIns="360000" rIns="0" bIns="0" rtlCol="0" anchor="t" upright="1"/>
        <a:lstStyle/>
        <a:p>
          <a:pPr algn="ctr"/>
          <a:fld id="{0F5249B1-240E-4004-93ED-8A3C66825702}" type="TxLink">
            <a:rPr lang="en-AU" sz="900" b="1" i="1">
              <a:solidFill>
                <a:schemeClr val="bg1"/>
              </a:solidFill>
              <a:latin typeface="Arial" pitchFamily="34" charset="0"/>
              <a:cs typeface="Arial" pitchFamily="34" charset="0"/>
            </a:rPr>
            <a:pPr algn="ctr"/>
            <a:t> </a:t>
          </a:fld>
          <a:endParaRPr lang="en-AU" sz="900" b="1" i="1">
            <a:solidFill>
              <a:schemeClr val="bg1"/>
            </a:solidFill>
            <a:latin typeface="Arial" pitchFamily="34" charset="0"/>
            <a:cs typeface="Arial" pitchFamily="34" charset="0"/>
          </a:endParaRPr>
        </a:p>
      </xdr:txBody>
    </xdr:sp>
    <xdr:clientData/>
  </xdr:twoCellAnchor>
  <xdr:twoCellAnchor>
    <xdr:from>
      <xdr:col>9</xdr:col>
      <xdr:colOff>432798</xdr:colOff>
      <xdr:row>25</xdr:row>
      <xdr:rowOff>70387</xdr:rowOff>
    </xdr:from>
    <xdr:to>
      <xdr:col>9</xdr:col>
      <xdr:colOff>1207169</xdr:colOff>
      <xdr:row>26</xdr:row>
      <xdr:rowOff>142416</xdr:rowOff>
    </xdr:to>
    <xdr:sp macro="" textlink="">
      <xdr:nvSpPr>
        <xdr:cNvPr id="57" name="AutoShape 5" descr="help">
          <a:hlinkClick xmlns:r="http://schemas.openxmlformats.org/officeDocument/2006/relationships" r:id="rId1"/>
          <a:extLst>
            <a:ext uri="{FF2B5EF4-FFF2-40B4-BE49-F238E27FC236}">
              <a16:creationId xmlns:a16="http://schemas.microsoft.com/office/drawing/2014/main" id="{00000000-0008-0000-0200-000039000000}"/>
            </a:ext>
          </a:extLst>
        </xdr:cNvPr>
        <xdr:cNvSpPr>
          <a:spLocks noChangeArrowheads="1"/>
        </xdr:cNvSpPr>
      </xdr:nvSpPr>
      <xdr:spPr bwMode="auto">
        <a:xfrm>
          <a:off x="9018905" y="5581280"/>
          <a:ext cx="774371" cy="398600"/>
        </a:xfrm>
        <a:prstGeom prst="roundRect">
          <a:avLst>
            <a:gd name="adj" fmla="val 21741"/>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a:cs typeface="Arial"/>
            </a:rPr>
            <a:t>Adjustment Factors</a:t>
          </a:r>
        </a:p>
      </xdr:txBody>
    </xdr:sp>
    <xdr:clientData/>
  </xdr:twoCellAnchor>
  <xdr:twoCellAnchor editAs="oneCell">
    <xdr:from>
      <xdr:col>1</xdr:col>
      <xdr:colOff>99514</xdr:colOff>
      <xdr:row>79</xdr:row>
      <xdr:rowOff>430327</xdr:rowOff>
    </xdr:from>
    <xdr:to>
      <xdr:col>3</xdr:col>
      <xdr:colOff>980300</xdr:colOff>
      <xdr:row>81</xdr:row>
      <xdr:rowOff>64732</xdr:rowOff>
    </xdr:to>
    <xdr:pic>
      <xdr:nvPicPr>
        <xdr:cNvPr id="59" name="Picture 58">
          <a:extLst>
            <a:ext uri="{FF2B5EF4-FFF2-40B4-BE49-F238E27FC236}">
              <a16:creationId xmlns:a16="http://schemas.microsoft.com/office/drawing/2014/main" id="{00000000-0008-0000-0200-00003B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514" y="11098327"/>
          <a:ext cx="1357036" cy="478047"/>
        </a:xfrm>
        <a:prstGeom prst="rect">
          <a:avLst/>
        </a:prstGeom>
      </xdr:spPr>
    </xdr:pic>
    <xdr:clientData/>
  </xdr:twoCellAnchor>
  <xdr:twoCellAnchor>
    <xdr:from>
      <xdr:col>0</xdr:col>
      <xdr:colOff>0</xdr:colOff>
      <xdr:row>76</xdr:row>
      <xdr:rowOff>13607</xdr:rowOff>
    </xdr:from>
    <xdr:to>
      <xdr:col>15</xdr:col>
      <xdr:colOff>1455965</xdr:colOff>
      <xdr:row>79</xdr:row>
      <xdr:rowOff>394608</xdr:rowOff>
    </xdr:to>
    <xdr:sp macro="" textlink="">
      <xdr:nvSpPr>
        <xdr:cNvPr id="60" name="TextBox 59">
          <a:extLst>
            <a:ext uri="{FF2B5EF4-FFF2-40B4-BE49-F238E27FC236}">
              <a16:creationId xmlns:a16="http://schemas.microsoft.com/office/drawing/2014/main" id="{00000000-0008-0000-0200-00003C000000}"/>
            </a:ext>
          </a:extLst>
        </xdr:cNvPr>
        <xdr:cNvSpPr txBox="1"/>
      </xdr:nvSpPr>
      <xdr:spPr>
        <a:xfrm>
          <a:off x="0" y="10164536"/>
          <a:ext cx="16927286" cy="898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dk1"/>
              </a:solidFill>
              <a:effectLst/>
              <a:latin typeface="Arial" panose="020B0604020202020204" pitchFamily="34" charset="0"/>
              <a:ea typeface="+mn-ea"/>
              <a:cs typeface="Arial" panose="020B0604020202020204" pitchFamily="34" charset="0"/>
            </a:rPr>
            <a:t>By accessing or using this calculator, you agree to the following: While care has been taken in the preparation of this calculator, it may not be complete or up-to-date. You can ensure that you are using a complete and up-to-date version by checking the Australian Building Codes Board website (</a:t>
          </a:r>
          <a:r>
            <a:rPr lang="en-AU" sz="1000" u="none"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www.abcb.gov.au</a:t>
          </a:r>
          <a:r>
            <a:rPr lang="en-AU" sz="1000">
              <a:solidFill>
                <a:schemeClr val="dk1"/>
              </a:solidFill>
              <a:effectLst/>
              <a:latin typeface="Arial" panose="020B0604020202020204" pitchFamily="34" charset="0"/>
              <a:ea typeface="+mn-ea"/>
              <a:cs typeface="Arial" panose="020B0604020202020204" pitchFamily="34" charset="0"/>
            </a:rPr>
            <a:t>). The Australian Building Codes Board, the Commonwealth of Australia and States and Territories of Australia do not accept any liability, including liability for negligence, for any loss (howsoever caused), damage, injury, expense or cost incurred by any person as a result of accessing, using or relying upon this publication, to the maximum extent permitted by law. No representation or warranty is made or given as to the currency, accuracy, reliability, merchantability, fitness for any purpose or completeness of this publication or any information which may appear on any linked websites, or in other linked information sources, and all such representations and warranties are excluded to the extent permitted by law. This calculator is not legal or professional advice. Persons rely upon this calculator entirely at their own risk and must take responsibility for assessing the relevance and accuracy of the information in relation to their particular circumstances.</a:t>
          </a:r>
        </a:p>
      </xdr:txBody>
    </xdr:sp>
    <xdr:clientData/>
  </xdr:twoCellAnchor>
  <xdr:twoCellAnchor>
    <xdr:from>
      <xdr:col>3</xdr:col>
      <xdr:colOff>1061358</xdr:colOff>
      <xdr:row>79</xdr:row>
      <xdr:rowOff>367393</xdr:rowOff>
    </xdr:from>
    <xdr:to>
      <xdr:col>15</xdr:col>
      <xdr:colOff>1469572</xdr:colOff>
      <xdr:row>81</xdr:row>
      <xdr:rowOff>149679</xdr:rowOff>
    </xdr:to>
    <xdr:sp macro="" textlink="">
      <xdr:nvSpPr>
        <xdr:cNvPr id="61" name="TextBox 60">
          <a:extLst>
            <a:ext uri="{FF2B5EF4-FFF2-40B4-BE49-F238E27FC236}">
              <a16:creationId xmlns:a16="http://schemas.microsoft.com/office/drawing/2014/main" id="{00000000-0008-0000-0200-00003D000000}"/>
            </a:ext>
          </a:extLst>
        </xdr:cNvPr>
        <xdr:cNvSpPr txBox="1"/>
      </xdr:nvSpPr>
      <xdr:spPr>
        <a:xfrm>
          <a:off x="1537608" y="11035393"/>
          <a:ext cx="15403285" cy="625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AU" sz="1000">
              <a:solidFill>
                <a:schemeClr val="dk1"/>
              </a:solidFill>
              <a:effectLst/>
              <a:latin typeface="Arial" panose="020B0604020202020204" pitchFamily="34" charset="0"/>
              <a:ea typeface="+mn-ea"/>
              <a:cs typeface="Arial" panose="020B0604020202020204" pitchFamily="34" charset="0"/>
            </a:rPr>
            <a:t>© Commonwealth of Australia and the States and Territories of Australia 2019, published by the Australian Building Codes Board.</a:t>
          </a:r>
        </a:p>
        <a:p>
          <a:r>
            <a:rPr lang="en-AU" sz="1000">
              <a:solidFill>
                <a:schemeClr val="dk1"/>
              </a:solidFill>
              <a:effectLst/>
              <a:latin typeface="Arial" panose="020B0604020202020204" pitchFamily="34" charset="0"/>
              <a:ea typeface="+mn-ea"/>
              <a:cs typeface="Arial" panose="020B0604020202020204" pitchFamily="34" charset="0"/>
            </a:rPr>
            <a:t>The material in this publication is licensed under a Creative Commons Attribution-No Derivatives—4.0 International licence, with the exception of third party materials and any trade marks.  It is provided for general information only and without warranties of any kind.  You may not make derivatives of this publication, but may only use a verbatim copy.  More information on this CC BY ND licence is set out at the </a:t>
          </a:r>
          <a:r>
            <a:rPr lang="en-AU" sz="10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Creative Commons Website</a:t>
          </a:r>
          <a:r>
            <a:rPr lang="en-AU" sz="1000">
              <a:solidFill>
                <a:schemeClr val="dk1"/>
              </a:solidFill>
              <a:effectLst/>
              <a:latin typeface="Arial" panose="020B0604020202020204" pitchFamily="34" charset="0"/>
              <a:ea typeface="+mn-ea"/>
              <a:cs typeface="Arial" panose="020B0604020202020204" pitchFamily="34" charset="0"/>
            </a:rPr>
            <a:t>.  For information regarding this publication, see </a:t>
          </a:r>
          <a:r>
            <a:rPr lang="en-AU" sz="10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www.abcb.gov.au</a:t>
          </a:r>
          <a:r>
            <a:rPr lang="en-AU" sz="1000">
              <a:solidFill>
                <a:schemeClr val="dk1"/>
              </a:solidFill>
              <a:effectLst/>
              <a:latin typeface="Arial" panose="020B0604020202020204" pitchFamily="34" charset="0"/>
              <a:ea typeface="+mn-ea"/>
              <a:cs typeface="Arial" panose="020B0604020202020204" pitchFamily="34" charset="0"/>
            </a:rPr>
            <a:t>.</a:t>
          </a:r>
        </a:p>
      </xdr:txBody>
    </xdr:sp>
    <xdr:clientData/>
  </xdr:twoCellAnchor>
  <xdr:twoCellAnchor>
    <xdr:from>
      <xdr:col>2</xdr:col>
      <xdr:colOff>195510</xdr:colOff>
      <xdr:row>4</xdr:row>
      <xdr:rowOff>132237</xdr:rowOff>
    </xdr:from>
    <xdr:to>
      <xdr:col>3</xdr:col>
      <xdr:colOff>841263</xdr:colOff>
      <xdr:row>4</xdr:row>
      <xdr:rowOff>375670</xdr:rowOff>
    </xdr:to>
    <xdr:sp macro="" textlink="">
      <xdr:nvSpPr>
        <xdr:cNvPr id="64" name="AutoShape 4" descr="help">
          <a:hlinkClick xmlns:r="http://schemas.openxmlformats.org/officeDocument/2006/relationships" r:id="rId3"/>
          <a:extLst>
            <a:ext uri="{FF2B5EF4-FFF2-40B4-BE49-F238E27FC236}">
              <a16:creationId xmlns:a16="http://schemas.microsoft.com/office/drawing/2014/main" id="{00000000-0008-0000-0200-000040000000}"/>
            </a:ext>
          </a:extLst>
        </xdr:cNvPr>
        <xdr:cNvSpPr>
          <a:spLocks noChangeArrowheads="1"/>
        </xdr:cNvSpPr>
      </xdr:nvSpPr>
      <xdr:spPr bwMode="auto">
        <a:xfrm>
          <a:off x="376485" y="2246787"/>
          <a:ext cx="845778" cy="243433"/>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chemeClr val="tx1"/>
              </a:solidFill>
              <a:latin typeface="Arial"/>
              <a:cs typeface="Arial"/>
            </a:rPr>
            <a:t>Main Menu</a:t>
          </a:r>
        </a:p>
      </xdr:txBody>
    </xdr:sp>
    <xdr:clientData/>
  </xdr:twoCellAnchor>
  <xdr:twoCellAnchor>
    <xdr:from>
      <xdr:col>3</xdr:col>
      <xdr:colOff>1012682</xdr:colOff>
      <xdr:row>4</xdr:row>
      <xdr:rowOff>131553</xdr:rowOff>
    </xdr:from>
    <xdr:to>
      <xdr:col>4</xdr:col>
      <xdr:colOff>285664</xdr:colOff>
      <xdr:row>4</xdr:row>
      <xdr:rowOff>376353</xdr:rowOff>
    </xdr:to>
    <xdr:sp macro="" textlink="" fLocksText="0">
      <xdr:nvSpPr>
        <xdr:cNvPr id="65" name="AutoShape 485" descr="help">
          <a:hlinkClick xmlns:r="http://schemas.openxmlformats.org/officeDocument/2006/relationships" r:id="rId4"/>
          <a:extLst>
            <a:ext uri="{FF2B5EF4-FFF2-40B4-BE49-F238E27FC236}">
              <a16:creationId xmlns:a16="http://schemas.microsoft.com/office/drawing/2014/main" id="{00000000-0008-0000-0200-000041000000}"/>
            </a:ext>
          </a:extLst>
        </xdr:cNvPr>
        <xdr:cNvSpPr>
          <a:spLocks noChangeArrowheads="1"/>
        </xdr:cNvSpPr>
      </xdr:nvSpPr>
      <xdr:spPr bwMode="auto">
        <a:xfrm>
          <a:off x="1493073" y="2218770"/>
          <a:ext cx="979200" cy="244800"/>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chemeClr val="tx1"/>
              </a:solidFill>
              <a:latin typeface="Arial"/>
              <a:cs typeface="Arial"/>
            </a:rPr>
            <a:t>Help</a:t>
          </a:r>
        </a:p>
      </xdr:txBody>
    </xdr:sp>
    <xdr:clientData fLocksWithSheet="0"/>
  </xdr:twoCellAnchor>
  <xdr:twoCellAnchor editAs="oneCell">
    <xdr:from>
      <xdr:col>0</xdr:col>
      <xdr:colOff>0</xdr:colOff>
      <xdr:row>0</xdr:row>
      <xdr:rowOff>0</xdr:rowOff>
    </xdr:from>
    <xdr:to>
      <xdr:col>16</xdr:col>
      <xdr:colOff>0</xdr:colOff>
      <xdr:row>4</xdr:row>
      <xdr:rowOff>30925</xdr:rowOff>
    </xdr:to>
    <xdr:pic>
      <xdr:nvPicPr>
        <xdr:cNvPr id="70" name="Picture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17008929" cy="2153639"/>
        </a:xfrm>
        <a:prstGeom prst="rect">
          <a:avLst/>
        </a:prstGeom>
      </xdr:spPr>
    </xdr:pic>
    <xdr:clientData/>
  </xdr:twoCellAnchor>
  <xdr:oneCellAnchor>
    <xdr:from>
      <xdr:col>3</xdr:col>
      <xdr:colOff>295472</xdr:colOff>
      <xdr:row>0</xdr:row>
      <xdr:rowOff>359578</xdr:rowOff>
    </xdr:from>
    <xdr:ext cx="722807" cy="1017003"/>
    <xdr:pic>
      <xdr:nvPicPr>
        <xdr:cNvPr id="71" name="Picture 70">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1722" y="359578"/>
          <a:ext cx="722807" cy="1017003"/>
        </a:xfrm>
        <a:prstGeom prst="rect">
          <a:avLst/>
        </a:prstGeom>
      </xdr:spPr>
    </xdr:pic>
    <xdr:clientData/>
  </xdr:oneCellAnchor>
  <xdr:twoCellAnchor>
    <xdr:from>
      <xdr:col>4</xdr:col>
      <xdr:colOff>403219</xdr:colOff>
      <xdr:row>0</xdr:row>
      <xdr:rowOff>477199</xdr:rowOff>
    </xdr:from>
    <xdr:to>
      <xdr:col>13</xdr:col>
      <xdr:colOff>232399</xdr:colOff>
      <xdr:row>2</xdr:row>
      <xdr:rowOff>377167</xdr:rowOff>
    </xdr:to>
    <xdr:sp macro="" textlink="">
      <xdr:nvSpPr>
        <xdr:cNvPr id="72" name="TextBox 71">
          <a:extLst>
            <a:ext uri="{FF2B5EF4-FFF2-40B4-BE49-F238E27FC236}">
              <a16:creationId xmlns:a16="http://schemas.microsoft.com/office/drawing/2014/main" id="{00000000-0008-0000-0200-000048000000}"/>
            </a:ext>
          </a:extLst>
        </xdr:cNvPr>
        <xdr:cNvSpPr txBox="1"/>
      </xdr:nvSpPr>
      <xdr:spPr>
        <a:xfrm>
          <a:off x="2580362" y="477199"/>
          <a:ext cx="10020930" cy="96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2400">
              <a:solidFill>
                <a:schemeClr val="bg1"/>
              </a:solidFill>
              <a:latin typeface="Arial" panose="020B0604020202020204" pitchFamily="34" charset="0"/>
              <a:cs typeface="Arial" panose="020B0604020202020204" pitchFamily="34" charset="0"/>
            </a:rPr>
            <a:t>Lighting</a:t>
          </a:r>
          <a:endParaRPr lang="en-US" sz="2400" baseline="0">
            <a:solidFill>
              <a:schemeClr val="bg1"/>
            </a:solidFill>
            <a:latin typeface="Arial" panose="020B0604020202020204" pitchFamily="34" charset="0"/>
            <a:cs typeface="Arial" panose="020B0604020202020204" pitchFamily="34" charset="0"/>
          </a:endParaRPr>
        </a:p>
        <a:p>
          <a:pPr algn="ctr">
            <a:lnSpc>
              <a:spcPct val="75000"/>
            </a:lnSpc>
          </a:pPr>
          <a:br>
            <a:rPr lang="en-US" sz="1400" baseline="0">
              <a:solidFill>
                <a:schemeClr val="bg1"/>
              </a:solidFill>
              <a:latin typeface="Arial" panose="020B0604020202020204" pitchFamily="34" charset="0"/>
              <a:cs typeface="Arial" panose="020B0604020202020204" pitchFamily="34" charset="0"/>
            </a:rPr>
          </a:br>
          <a:r>
            <a:rPr lang="en-US" sz="1400" baseline="0">
              <a:solidFill>
                <a:schemeClr val="bg1"/>
              </a:solidFill>
              <a:latin typeface="Arial" panose="020B0604020202020204" pitchFamily="34" charset="0"/>
              <a:cs typeface="Arial" panose="020B0604020202020204" pitchFamily="34" charset="0"/>
            </a:rPr>
            <a:t>Class 1 buildings</a:t>
          </a:r>
          <a:endParaRPr lang="en-US" sz="2400">
            <a:solidFill>
              <a:schemeClr val="bg1"/>
            </a:solidFill>
            <a:latin typeface="Arial" panose="020B0604020202020204" pitchFamily="34" charset="0"/>
            <a:cs typeface="Arial" panose="020B0604020202020204" pitchFamily="34" charset="0"/>
          </a:endParaRPr>
        </a:p>
      </xdr:txBody>
    </xdr:sp>
    <xdr:clientData/>
  </xdr:twoCellAnchor>
  <xdr:oneCellAnchor>
    <xdr:from>
      <xdr:col>13</xdr:col>
      <xdr:colOff>894072</xdr:colOff>
      <xdr:row>0</xdr:row>
      <xdr:rowOff>333507</xdr:rowOff>
    </xdr:from>
    <xdr:ext cx="1714500" cy="624086"/>
    <xdr:pic>
      <xdr:nvPicPr>
        <xdr:cNvPr id="73" name="Picture 72">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262965" y="333507"/>
          <a:ext cx="1714500" cy="624086"/>
        </a:xfrm>
        <a:prstGeom prst="rect">
          <a:avLst/>
        </a:prstGeom>
      </xdr:spPr>
    </xdr:pic>
    <xdr:clientData/>
  </xdr:oneCellAnchor>
  <xdr:twoCellAnchor editAs="oneCell">
    <xdr:from>
      <xdr:col>14</xdr:col>
      <xdr:colOff>934063</xdr:colOff>
      <xdr:row>2</xdr:row>
      <xdr:rowOff>186790</xdr:rowOff>
    </xdr:from>
    <xdr:to>
      <xdr:col>15</xdr:col>
      <xdr:colOff>541238</xdr:colOff>
      <xdr:row>3</xdr:row>
      <xdr:rowOff>247002</xdr:rowOff>
    </xdr:to>
    <xdr:pic>
      <xdr:nvPicPr>
        <xdr:cNvPr id="74" name="Picture 73">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4377920" y="1248147"/>
          <a:ext cx="573282" cy="586129"/>
        </a:xfrm>
        <a:prstGeom prst="rect">
          <a:avLst/>
        </a:prstGeom>
      </xdr:spPr>
    </xdr:pic>
    <xdr:clientData/>
  </xdr:twoCellAnchor>
  <xdr:twoCellAnchor>
    <xdr:from>
      <xdr:col>13</xdr:col>
      <xdr:colOff>0</xdr:colOff>
      <xdr:row>37</xdr:row>
      <xdr:rowOff>0</xdr:rowOff>
    </xdr:from>
    <xdr:to>
      <xdr:col>16</xdr:col>
      <xdr:colOff>0</xdr:colOff>
      <xdr:row>37</xdr:row>
      <xdr:rowOff>164224</xdr:rowOff>
    </xdr:to>
    <xdr:sp macro="" textlink="$AV$37">
      <xdr:nvSpPr>
        <xdr:cNvPr id="62" name="Text Box 225">
          <a:extLst>
            <a:ext uri="{FF2B5EF4-FFF2-40B4-BE49-F238E27FC236}">
              <a16:creationId xmlns:a16="http://schemas.microsoft.com/office/drawing/2014/main" id="{00000000-0008-0000-0200-00003E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37</xdr:row>
      <xdr:rowOff>464344</xdr:rowOff>
    </xdr:from>
    <xdr:to>
      <xdr:col>16</xdr:col>
      <xdr:colOff>0</xdr:colOff>
      <xdr:row>39</xdr:row>
      <xdr:rowOff>0</xdr:rowOff>
    </xdr:to>
    <xdr:sp macro="" textlink="$AV$38">
      <xdr:nvSpPr>
        <xdr:cNvPr id="63" name="Text Box 226">
          <a:extLst>
            <a:ext uri="{FF2B5EF4-FFF2-40B4-BE49-F238E27FC236}">
              <a16:creationId xmlns:a16="http://schemas.microsoft.com/office/drawing/2014/main" id="{00000000-0008-0000-0200-00003F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38</xdr:row>
      <xdr:rowOff>0</xdr:rowOff>
    </xdr:from>
    <xdr:to>
      <xdr:col>16</xdr:col>
      <xdr:colOff>0</xdr:colOff>
      <xdr:row>38</xdr:row>
      <xdr:rowOff>164224</xdr:rowOff>
    </xdr:to>
    <xdr:sp macro="" textlink="$AV$37">
      <xdr:nvSpPr>
        <xdr:cNvPr id="66" name="Text Box 225">
          <a:extLst>
            <a:ext uri="{FF2B5EF4-FFF2-40B4-BE49-F238E27FC236}">
              <a16:creationId xmlns:a16="http://schemas.microsoft.com/office/drawing/2014/main" id="{00000000-0008-0000-0200-000042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38</xdr:row>
      <xdr:rowOff>464344</xdr:rowOff>
    </xdr:from>
    <xdr:to>
      <xdr:col>16</xdr:col>
      <xdr:colOff>0</xdr:colOff>
      <xdr:row>40</xdr:row>
      <xdr:rowOff>0</xdr:rowOff>
    </xdr:to>
    <xdr:sp macro="" textlink="$AV$38">
      <xdr:nvSpPr>
        <xdr:cNvPr id="67" name="Text Box 226">
          <a:extLst>
            <a:ext uri="{FF2B5EF4-FFF2-40B4-BE49-F238E27FC236}">
              <a16:creationId xmlns:a16="http://schemas.microsoft.com/office/drawing/2014/main" id="{00000000-0008-0000-0200-000043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39</xdr:row>
      <xdr:rowOff>0</xdr:rowOff>
    </xdr:from>
    <xdr:to>
      <xdr:col>16</xdr:col>
      <xdr:colOff>0</xdr:colOff>
      <xdr:row>39</xdr:row>
      <xdr:rowOff>164224</xdr:rowOff>
    </xdr:to>
    <xdr:sp macro="" textlink="$AV$37">
      <xdr:nvSpPr>
        <xdr:cNvPr id="68" name="Text Box 225">
          <a:extLst>
            <a:ext uri="{FF2B5EF4-FFF2-40B4-BE49-F238E27FC236}">
              <a16:creationId xmlns:a16="http://schemas.microsoft.com/office/drawing/2014/main" id="{00000000-0008-0000-0200-000044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39</xdr:row>
      <xdr:rowOff>464344</xdr:rowOff>
    </xdr:from>
    <xdr:to>
      <xdr:col>16</xdr:col>
      <xdr:colOff>0</xdr:colOff>
      <xdr:row>41</xdr:row>
      <xdr:rowOff>0</xdr:rowOff>
    </xdr:to>
    <xdr:sp macro="" textlink="$AV$38">
      <xdr:nvSpPr>
        <xdr:cNvPr id="69" name="Text Box 226">
          <a:extLst>
            <a:ext uri="{FF2B5EF4-FFF2-40B4-BE49-F238E27FC236}">
              <a16:creationId xmlns:a16="http://schemas.microsoft.com/office/drawing/2014/main" id="{00000000-0008-0000-0200-000045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40</xdr:row>
      <xdr:rowOff>0</xdr:rowOff>
    </xdr:from>
    <xdr:to>
      <xdr:col>16</xdr:col>
      <xdr:colOff>0</xdr:colOff>
      <xdr:row>40</xdr:row>
      <xdr:rowOff>164224</xdr:rowOff>
    </xdr:to>
    <xdr:sp macro="" textlink="$AV$37">
      <xdr:nvSpPr>
        <xdr:cNvPr id="75" name="Text Box 225">
          <a:extLst>
            <a:ext uri="{FF2B5EF4-FFF2-40B4-BE49-F238E27FC236}">
              <a16:creationId xmlns:a16="http://schemas.microsoft.com/office/drawing/2014/main" id="{00000000-0008-0000-0200-00004B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40</xdr:row>
      <xdr:rowOff>464344</xdr:rowOff>
    </xdr:from>
    <xdr:to>
      <xdr:col>16</xdr:col>
      <xdr:colOff>0</xdr:colOff>
      <xdr:row>42</xdr:row>
      <xdr:rowOff>0</xdr:rowOff>
    </xdr:to>
    <xdr:sp macro="" textlink="$AV$38">
      <xdr:nvSpPr>
        <xdr:cNvPr id="76" name="Text Box 226">
          <a:extLst>
            <a:ext uri="{FF2B5EF4-FFF2-40B4-BE49-F238E27FC236}">
              <a16:creationId xmlns:a16="http://schemas.microsoft.com/office/drawing/2014/main" id="{00000000-0008-0000-0200-00004C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41</xdr:row>
      <xdr:rowOff>0</xdr:rowOff>
    </xdr:from>
    <xdr:to>
      <xdr:col>16</xdr:col>
      <xdr:colOff>0</xdr:colOff>
      <xdr:row>41</xdr:row>
      <xdr:rowOff>164224</xdr:rowOff>
    </xdr:to>
    <xdr:sp macro="" textlink="$AV$37">
      <xdr:nvSpPr>
        <xdr:cNvPr id="77" name="Text Box 225">
          <a:extLst>
            <a:ext uri="{FF2B5EF4-FFF2-40B4-BE49-F238E27FC236}">
              <a16:creationId xmlns:a16="http://schemas.microsoft.com/office/drawing/2014/main" id="{00000000-0008-0000-0200-00004D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41</xdr:row>
      <xdr:rowOff>464344</xdr:rowOff>
    </xdr:from>
    <xdr:to>
      <xdr:col>16</xdr:col>
      <xdr:colOff>0</xdr:colOff>
      <xdr:row>43</xdr:row>
      <xdr:rowOff>0</xdr:rowOff>
    </xdr:to>
    <xdr:sp macro="" textlink="$AV$38">
      <xdr:nvSpPr>
        <xdr:cNvPr id="78" name="Text Box 226">
          <a:extLst>
            <a:ext uri="{FF2B5EF4-FFF2-40B4-BE49-F238E27FC236}">
              <a16:creationId xmlns:a16="http://schemas.microsoft.com/office/drawing/2014/main" id="{00000000-0008-0000-0200-00004E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42</xdr:row>
      <xdr:rowOff>0</xdr:rowOff>
    </xdr:from>
    <xdr:to>
      <xdr:col>16</xdr:col>
      <xdr:colOff>0</xdr:colOff>
      <xdr:row>42</xdr:row>
      <xdr:rowOff>164224</xdr:rowOff>
    </xdr:to>
    <xdr:sp macro="" textlink="$AV$37">
      <xdr:nvSpPr>
        <xdr:cNvPr id="79" name="Text Box 225">
          <a:extLst>
            <a:ext uri="{FF2B5EF4-FFF2-40B4-BE49-F238E27FC236}">
              <a16:creationId xmlns:a16="http://schemas.microsoft.com/office/drawing/2014/main" id="{00000000-0008-0000-0200-00004F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42</xdr:row>
      <xdr:rowOff>464344</xdr:rowOff>
    </xdr:from>
    <xdr:to>
      <xdr:col>16</xdr:col>
      <xdr:colOff>0</xdr:colOff>
      <xdr:row>44</xdr:row>
      <xdr:rowOff>0</xdr:rowOff>
    </xdr:to>
    <xdr:sp macro="" textlink="$AV$38">
      <xdr:nvSpPr>
        <xdr:cNvPr id="80" name="Text Box 226">
          <a:extLst>
            <a:ext uri="{FF2B5EF4-FFF2-40B4-BE49-F238E27FC236}">
              <a16:creationId xmlns:a16="http://schemas.microsoft.com/office/drawing/2014/main" id="{00000000-0008-0000-0200-000050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43</xdr:row>
      <xdr:rowOff>0</xdr:rowOff>
    </xdr:from>
    <xdr:to>
      <xdr:col>16</xdr:col>
      <xdr:colOff>0</xdr:colOff>
      <xdr:row>43</xdr:row>
      <xdr:rowOff>164224</xdr:rowOff>
    </xdr:to>
    <xdr:sp macro="" textlink="$AV$37">
      <xdr:nvSpPr>
        <xdr:cNvPr id="81" name="Text Box 225">
          <a:extLst>
            <a:ext uri="{FF2B5EF4-FFF2-40B4-BE49-F238E27FC236}">
              <a16:creationId xmlns:a16="http://schemas.microsoft.com/office/drawing/2014/main" id="{00000000-0008-0000-0200-000051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43</xdr:row>
      <xdr:rowOff>464344</xdr:rowOff>
    </xdr:from>
    <xdr:to>
      <xdr:col>16</xdr:col>
      <xdr:colOff>0</xdr:colOff>
      <xdr:row>45</xdr:row>
      <xdr:rowOff>0</xdr:rowOff>
    </xdr:to>
    <xdr:sp macro="" textlink="$AV$38">
      <xdr:nvSpPr>
        <xdr:cNvPr id="82" name="Text Box 226">
          <a:extLst>
            <a:ext uri="{FF2B5EF4-FFF2-40B4-BE49-F238E27FC236}">
              <a16:creationId xmlns:a16="http://schemas.microsoft.com/office/drawing/2014/main" id="{00000000-0008-0000-0200-000052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44</xdr:row>
      <xdr:rowOff>0</xdr:rowOff>
    </xdr:from>
    <xdr:to>
      <xdr:col>16</xdr:col>
      <xdr:colOff>0</xdr:colOff>
      <xdr:row>44</xdr:row>
      <xdr:rowOff>164224</xdr:rowOff>
    </xdr:to>
    <xdr:sp macro="" textlink="$AV$37">
      <xdr:nvSpPr>
        <xdr:cNvPr id="83" name="Text Box 225">
          <a:extLst>
            <a:ext uri="{FF2B5EF4-FFF2-40B4-BE49-F238E27FC236}">
              <a16:creationId xmlns:a16="http://schemas.microsoft.com/office/drawing/2014/main" id="{00000000-0008-0000-0200-000053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44</xdr:row>
      <xdr:rowOff>464344</xdr:rowOff>
    </xdr:from>
    <xdr:to>
      <xdr:col>16</xdr:col>
      <xdr:colOff>0</xdr:colOff>
      <xdr:row>46</xdr:row>
      <xdr:rowOff>0</xdr:rowOff>
    </xdr:to>
    <xdr:sp macro="" textlink="$AV$38">
      <xdr:nvSpPr>
        <xdr:cNvPr id="84" name="Text Box 226">
          <a:extLst>
            <a:ext uri="{FF2B5EF4-FFF2-40B4-BE49-F238E27FC236}">
              <a16:creationId xmlns:a16="http://schemas.microsoft.com/office/drawing/2014/main" id="{00000000-0008-0000-0200-000054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45</xdr:row>
      <xdr:rowOff>0</xdr:rowOff>
    </xdr:from>
    <xdr:to>
      <xdr:col>16</xdr:col>
      <xdr:colOff>0</xdr:colOff>
      <xdr:row>45</xdr:row>
      <xdr:rowOff>164224</xdr:rowOff>
    </xdr:to>
    <xdr:sp macro="" textlink="$AV$37">
      <xdr:nvSpPr>
        <xdr:cNvPr id="85" name="Text Box 225">
          <a:extLst>
            <a:ext uri="{FF2B5EF4-FFF2-40B4-BE49-F238E27FC236}">
              <a16:creationId xmlns:a16="http://schemas.microsoft.com/office/drawing/2014/main" id="{00000000-0008-0000-0200-000055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45</xdr:row>
      <xdr:rowOff>464344</xdr:rowOff>
    </xdr:from>
    <xdr:to>
      <xdr:col>16</xdr:col>
      <xdr:colOff>0</xdr:colOff>
      <xdr:row>47</xdr:row>
      <xdr:rowOff>0</xdr:rowOff>
    </xdr:to>
    <xdr:sp macro="" textlink="$AV$38">
      <xdr:nvSpPr>
        <xdr:cNvPr id="86" name="Text Box 226">
          <a:extLst>
            <a:ext uri="{FF2B5EF4-FFF2-40B4-BE49-F238E27FC236}">
              <a16:creationId xmlns:a16="http://schemas.microsoft.com/office/drawing/2014/main" id="{00000000-0008-0000-0200-000056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46</xdr:row>
      <xdr:rowOff>0</xdr:rowOff>
    </xdr:from>
    <xdr:to>
      <xdr:col>16</xdr:col>
      <xdr:colOff>0</xdr:colOff>
      <xdr:row>46</xdr:row>
      <xdr:rowOff>164224</xdr:rowOff>
    </xdr:to>
    <xdr:sp macro="" textlink="$AV$37">
      <xdr:nvSpPr>
        <xdr:cNvPr id="87" name="Text Box 225">
          <a:extLst>
            <a:ext uri="{FF2B5EF4-FFF2-40B4-BE49-F238E27FC236}">
              <a16:creationId xmlns:a16="http://schemas.microsoft.com/office/drawing/2014/main" id="{00000000-0008-0000-0200-000057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46</xdr:row>
      <xdr:rowOff>464344</xdr:rowOff>
    </xdr:from>
    <xdr:to>
      <xdr:col>16</xdr:col>
      <xdr:colOff>0</xdr:colOff>
      <xdr:row>48</xdr:row>
      <xdr:rowOff>0</xdr:rowOff>
    </xdr:to>
    <xdr:sp macro="" textlink="$AV$38">
      <xdr:nvSpPr>
        <xdr:cNvPr id="88" name="Text Box 226">
          <a:extLst>
            <a:ext uri="{FF2B5EF4-FFF2-40B4-BE49-F238E27FC236}">
              <a16:creationId xmlns:a16="http://schemas.microsoft.com/office/drawing/2014/main" id="{00000000-0008-0000-0200-000058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47</xdr:row>
      <xdr:rowOff>0</xdr:rowOff>
    </xdr:from>
    <xdr:to>
      <xdr:col>16</xdr:col>
      <xdr:colOff>0</xdr:colOff>
      <xdr:row>47</xdr:row>
      <xdr:rowOff>164224</xdr:rowOff>
    </xdr:to>
    <xdr:sp macro="" textlink="$AV$37">
      <xdr:nvSpPr>
        <xdr:cNvPr id="89" name="Text Box 225">
          <a:extLst>
            <a:ext uri="{FF2B5EF4-FFF2-40B4-BE49-F238E27FC236}">
              <a16:creationId xmlns:a16="http://schemas.microsoft.com/office/drawing/2014/main" id="{00000000-0008-0000-0200-000059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47</xdr:row>
      <xdr:rowOff>464344</xdr:rowOff>
    </xdr:from>
    <xdr:to>
      <xdr:col>16</xdr:col>
      <xdr:colOff>0</xdr:colOff>
      <xdr:row>49</xdr:row>
      <xdr:rowOff>0</xdr:rowOff>
    </xdr:to>
    <xdr:sp macro="" textlink="$AV$38">
      <xdr:nvSpPr>
        <xdr:cNvPr id="90" name="Text Box 226">
          <a:extLst>
            <a:ext uri="{FF2B5EF4-FFF2-40B4-BE49-F238E27FC236}">
              <a16:creationId xmlns:a16="http://schemas.microsoft.com/office/drawing/2014/main" id="{00000000-0008-0000-0200-00005A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48</xdr:row>
      <xdr:rowOff>0</xdr:rowOff>
    </xdr:from>
    <xdr:to>
      <xdr:col>16</xdr:col>
      <xdr:colOff>0</xdr:colOff>
      <xdr:row>48</xdr:row>
      <xdr:rowOff>164224</xdr:rowOff>
    </xdr:to>
    <xdr:sp macro="" textlink="$AV$37">
      <xdr:nvSpPr>
        <xdr:cNvPr id="91" name="Text Box 225">
          <a:extLst>
            <a:ext uri="{FF2B5EF4-FFF2-40B4-BE49-F238E27FC236}">
              <a16:creationId xmlns:a16="http://schemas.microsoft.com/office/drawing/2014/main" id="{00000000-0008-0000-0200-00005B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48</xdr:row>
      <xdr:rowOff>464344</xdr:rowOff>
    </xdr:from>
    <xdr:to>
      <xdr:col>16</xdr:col>
      <xdr:colOff>0</xdr:colOff>
      <xdr:row>50</xdr:row>
      <xdr:rowOff>0</xdr:rowOff>
    </xdr:to>
    <xdr:sp macro="" textlink="$AV$38">
      <xdr:nvSpPr>
        <xdr:cNvPr id="92" name="Text Box 226">
          <a:extLst>
            <a:ext uri="{FF2B5EF4-FFF2-40B4-BE49-F238E27FC236}">
              <a16:creationId xmlns:a16="http://schemas.microsoft.com/office/drawing/2014/main" id="{00000000-0008-0000-0200-00005C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49</xdr:row>
      <xdr:rowOff>0</xdr:rowOff>
    </xdr:from>
    <xdr:to>
      <xdr:col>16</xdr:col>
      <xdr:colOff>0</xdr:colOff>
      <xdr:row>49</xdr:row>
      <xdr:rowOff>164224</xdr:rowOff>
    </xdr:to>
    <xdr:sp macro="" textlink="$AV$37">
      <xdr:nvSpPr>
        <xdr:cNvPr id="93" name="Text Box 225">
          <a:extLst>
            <a:ext uri="{FF2B5EF4-FFF2-40B4-BE49-F238E27FC236}">
              <a16:creationId xmlns:a16="http://schemas.microsoft.com/office/drawing/2014/main" id="{00000000-0008-0000-0200-00005D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49</xdr:row>
      <xdr:rowOff>464344</xdr:rowOff>
    </xdr:from>
    <xdr:to>
      <xdr:col>16</xdr:col>
      <xdr:colOff>0</xdr:colOff>
      <xdr:row>51</xdr:row>
      <xdr:rowOff>0</xdr:rowOff>
    </xdr:to>
    <xdr:sp macro="" textlink="$AV$38">
      <xdr:nvSpPr>
        <xdr:cNvPr id="94" name="Text Box 226">
          <a:extLst>
            <a:ext uri="{FF2B5EF4-FFF2-40B4-BE49-F238E27FC236}">
              <a16:creationId xmlns:a16="http://schemas.microsoft.com/office/drawing/2014/main" id="{00000000-0008-0000-0200-00005E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50</xdr:row>
      <xdr:rowOff>0</xdr:rowOff>
    </xdr:from>
    <xdr:to>
      <xdr:col>16</xdr:col>
      <xdr:colOff>0</xdr:colOff>
      <xdr:row>50</xdr:row>
      <xdr:rowOff>164224</xdr:rowOff>
    </xdr:to>
    <xdr:sp macro="" textlink="$AV$37">
      <xdr:nvSpPr>
        <xdr:cNvPr id="95" name="Text Box 225">
          <a:extLst>
            <a:ext uri="{FF2B5EF4-FFF2-40B4-BE49-F238E27FC236}">
              <a16:creationId xmlns:a16="http://schemas.microsoft.com/office/drawing/2014/main" id="{00000000-0008-0000-0200-00005F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50</xdr:row>
      <xdr:rowOff>464344</xdr:rowOff>
    </xdr:from>
    <xdr:to>
      <xdr:col>16</xdr:col>
      <xdr:colOff>0</xdr:colOff>
      <xdr:row>52</xdr:row>
      <xdr:rowOff>0</xdr:rowOff>
    </xdr:to>
    <xdr:sp macro="" textlink="$AV$38">
      <xdr:nvSpPr>
        <xdr:cNvPr id="96" name="Text Box 226">
          <a:extLst>
            <a:ext uri="{FF2B5EF4-FFF2-40B4-BE49-F238E27FC236}">
              <a16:creationId xmlns:a16="http://schemas.microsoft.com/office/drawing/2014/main" id="{00000000-0008-0000-0200-000060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51</xdr:row>
      <xdr:rowOff>0</xdr:rowOff>
    </xdr:from>
    <xdr:to>
      <xdr:col>16</xdr:col>
      <xdr:colOff>0</xdr:colOff>
      <xdr:row>51</xdr:row>
      <xdr:rowOff>164224</xdr:rowOff>
    </xdr:to>
    <xdr:sp macro="" textlink="$AV$37">
      <xdr:nvSpPr>
        <xdr:cNvPr id="97" name="Text Box 225">
          <a:extLst>
            <a:ext uri="{FF2B5EF4-FFF2-40B4-BE49-F238E27FC236}">
              <a16:creationId xmlns:a16="http://schemas.microsoft.com/office/drawing/2014/main" id="{00000000-0008-0000-0200-000061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51</xdr:row>
      <xdr:rowOff>464344</xdr:rowOff>
    </xdr:from>
    <xdr:to>
      <xdr:col>16</xdr:col>
      <xdr:colOff>0</xdr:colOff>
      <xdr:row>53</xdr:row>
      <xdr:rowOff>0</xdr:rowOff>
    </xdr:to>
    <xdr:sp macro="" textlink="$AV$38">
      <xdr:nvSpPr>
        <xdr:cNvPr id="98" name="Text Box 226">
          <a:extLst>
            <a:ext uri="{FF2B5EF4-FFF2-40B4-BE49-F238E27FC236}">
              <a16:creationId xmlns:a16="http://schemas.microsoft.com/office/drawing/2014/main" id="{00000000-0008-0000-0200-000062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52</xdr:row>
      <xdr:rowOff>0</xdr:rowOff>
    </xdr:from>
    <xdr:to>
      <xdr:col>16</xdr:col>
      <xdr:colOff>0</xdr:colOff>
      <xdr:row>52</xdr:row>
      <xdr:rowOff>164224</xdr:rowOff>
    </xdr:to>
    <xdr:sp macro="" textlink="$AV$37">
      <xdr:nvSpPr>
        <xdr:cNvPr id="99" name="Text Box 225">
          <a:extLst>
            <a:ext uri="{FF2B5EF4-FFF2-40B4-BE49-F238E27FC236}">
              <a16:creationId xmlns:a16="http://schemas.microsoft.com/office/drawing/2014/main" id="{00000000-0008-0000-0200-000063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52</xdr:row>
      <xdr:rowOff>464344</xdr:rowOff>
    </xdr:from>
    <xdr:to>
      <xdr:col>16</xdr:col>
      <xdr:colOff>0</xdr:colOff>
      <xdr:row>54</xdr:row>
      <xdr:rowOff>0</xdr:rowOff>
    </xdr:to>
    <xdr:sp macro="" textlink="$AV$38">
      <xdr:nvSpPr>
        <xdr:cNvPr id="100" name="Text Box 226">
          <a:extLst>
            <a:ext uri="{FF2B5EF4-FFF2-40B4-BE49-F238E27FC236}">
              <a16:creationId xmlns:a16="http://schemas.microsoft.com/office/drawing/2014/main" id="{00000000-0008-0000-0200-000064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53</xdr:row>
      <xdr:rowOff>0</xdr:rowOff>
    </xdr:from>
    <xdr:to>
      <xdr:col>16</xdr:col>
      <xdr:colOff>0</xdr:colOff>
      <xdr:row>53</xdr:row>
      <xdr:rowOff>164224</xdr:rowOff>
    </xdr:to>
    <xdr:sp macro="" textlink="$AV$37">
      <xdr:nvSpPr>
        <xdr:cNvPr id="101" name="Text Box 225">
          <a:extLst>
            <a:ext uri="{FF2B5EF4-FFF2-40B4-BE49-F238E27FC236}">
              <a16:creationId xmlns:a16="http://schemas.microsoft.com/office/drawing/2014/main" id="{00000000-0008-0000-0200-000065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53</xdr:row>
      <xdr:rowOff>464344</xdr:rowOff>
    </xdr:from>
    <xdr:to>
      <xdr:col>16</xdr:col>
      <xdr:colOff>0</xdr:colOff>
      <xdr:row>55</xdr:row>
      <xdr:rowOff>0</xdr:rowOff>
    </xdr:to>
    <xdr:sp macro="" textlink="$AV$38">
      <xdr:nvSpPr>
        <xdr:cNvPr id="102" name="Text Box 226">
          <a:extLst>
            <a:ext uri="{FF2B5EF4-FFF2-40B4-BE49-F238E27FC236}">
              <a16:creationId xmlns:a16="http://schemas.microsoft.com/office/drawing/2014/main" id="{00000000-0008-0000-0200-000066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54</xdr:row>
      <xdr:rowOff>0</xdr:rowOff>
    </xdr:from>
    <xdr:to>
      <xdr:col>16</xdr:col>
      <xdr:colOff>0</xdr:colOff>
      <xdr:row>54</xdr:row>
      <xdr:rowOff>164224</xdr:rowOff>
    </xdr:to>
    <xdr:sp macro="" textlink="$AV$37">
      <xdr:nvSpPr>
        <xdr:cNvPr id="103" name="Text Box 225">
          <a:extLst>
            <a:ext uri="{FF2B5EF4-FFF2-40B4-BE49-F238E27FC236}">
              <a16:creationId xmlns:a16="http://schemas.microsoft.com/office/drawing/2014/main" id="{00000000-0008-0000-0200-000067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54</xdr:row>
      <xdr:rowOff>464344</xdr:rowOff>
    </xdr:from>
    <xdr:to>
      <xdr:col>16</xdr:col>
      <xdr:colOff>0</xdr:colOff>
      <xdr:row>56</xdr:row>
      <xdr:rowOff>0</xdr:rowOff>
    </xdr:to>
    <xdr:sp macro="" textlink="$AV$38">
      <xdr:nvSpPr>
        <xdr:cNvPr id="104" name="Text Box 226">
          <a:extLst>
            <a:ext uri="{FF2B5EF4-FFF2-40B4-BE49-F238E27FC236}">
              <a16:creationId xmlns:a16="http://schemas.microsoft.com/office/drawing/2014/main" id="{00000000-0008-0000-0200-000068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55</xdr:row>
      <xdr:rowOff>0</xdr:rowOff>
    </xdr:from>
    <xdr:to>
      <xdr:col>16</xdr:col>
      <xdr:colOff>0</xdr:colOff>
      <xdr:row>55</xdr:row>
      <xdr:rowOff>164224</xdr:rowOff>
    </xdr:to>
    <xdr:sp macro="" textlink="$AV$37">
      <xdr:nvSpPr>
        <xdr:cNvPr id="105" name="Text Box 225">
          <a:extLst>
            <a:ext uri="{FF2B5EF4-FFF2-40B4-BE49-F238E27FC236}">
              <a16:creationId xmlns:a16="http://schemas.microsoft.com/office/drawing/2014/main" id="{00000000-0008-0000-0200-000069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55</xdr:row>
      <xdr:rowOff>464344</xdr:rowOff>
    </xdr:from>
    <xdr:to>
      <xdr:col>16</xdr:col>
      <xdr:colOff>0</xdr:colOff>
      <xdr:row>57</xdr:row>
      <xdr:rowOff>0</xdr:rowOff>
    </xdr:to>
    <xdr:sp macro="" textlink="$AV$38">
      <xdr:nvSpPr>
        <xdr:cNvPr id="106" name="Text Box 226">
          <a:extLst>
            <a:ext uri="{FF2B5EF4-FFF2-40B4-BE49-F238E27FC236}">
              <a16:creationId xmlns:a16="http://schemas.microsoft.com/office/drawing/2014/main" id="{00000000-0008-0000-0200-00006A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56</xdr:row>
      <xdr:rowOff>0</xdr:rowOff>
    </xdr:from>
    <xdr:to>
      <xdr:col>16</xdr:col>
      <xdr:colOff>0</xdr:colOff>
      <xdr:row>56</xdr:row>
      <xdr:rowOff>164224</xdr:rowOff>
    </xdr:to>
    <xdr:sp macro="" textlink="$AV$37">
      <xdr:nvSpPr>
        <xdr:cNvPr id="107" name="Text Box 225">
          <a:extLst>
            <a:ext uri="{FF2B5EF4-FFF2-40B4-BE49-F238E27FC236}">
              <a16:creationId xmlns:a16="http://schemas.microsoft.com/office/drawing/2014/main" id="{00000000-0008-0000-0200-00006B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56</xdr:row>
      <xdr:rowOff>464344</xdr:rowOff>
    </xdr:from>
    <xdr:to>
      <xdr:col>16</xdr:col>
      <xdr:colOff>0</xdr:colOff>
      <xdr:row>58</xdr:row>
      <xdr:rowOff>0</xdr:rowOff>
    </xdr:to>
    <xdr:sp macro="" textlink="$AV$38">
      <xdr:nvSpPr>
        <xdr:cNvPr id="108" name="Text Box 226">
          <a:extLst>
            <a:ext uri="{FF2B5EF4-FFF2-40B4-BE49-F238E27FC236}">
              <a16:creationId xmlns:a16="http://schemas.microsoft.com/office/drawing/2014/main" id="{00000000-0008-0000-0200-00006C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57</xdr:row>
      <xdr:rowOff>0</xdr:rowOff>
    </xdr:from>
    <xdr:to>
      <xdr:col>16</xdr:col>
      <xdr:colOff>0</xdr:colOff>
      <xdr:row>57</xdr:row>
      <xdr:rowOff>164224</xdr:rowOff>
    </xdr:to>
    <xdr:sp macro="" textlink="$AV$37">
      <xdr:nvSpPr>
        <xdr:cNvPr id="109" name="Text Box 225">
          <a:extLst>
            <a:ext uri="{FF2B5EF4-FFF2-40B4-BE49-F238E27FC236}">
              <a16:creationId xmlns:a16="http://schemas.microsoft.com/office/drawing/2014/main" id="{00000000-0008-0000-0200-00006D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57</xdr:row>
      <xdr:rowOff>464344</xdr:rowOff>
    </xdr:from>
    <xdr:to>
      <xdr:col>16</xdr:col>
      <xdr:colOff>0</xdr:colOff>
      <xdr:row>59</xdr:row>
      <xdr:rowOff>0</xdr:rowOff>
    </xdr:to>
    <xdr:sp macro="" textlink="$AV$38">
      <xdr:nvSpPr>
        <xdr:cNvPr id="110" name="Text Box 226">
          <a:extLst>
            <a:ext uri="{FF2B5EF4-FFF2-40B4-BE49-F238E27FC236}">
              <a16:creationId xmlns:a16="http://schemas.microsoft.com/office/drawing/2014/main" id="{00000000-0008-0000-0200-00006E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58</xdr:row>
      <xdr:rowOff>0</xdr:rowOff>
    </xdr:from>
    <xdr:to>
      <xdr:col>16</xdr:col>
      <xdr:colOff>0</xdr:colOff>
      <xdr:row>58</xdr:row>
      <xdr:rowOff>164224</xdr:rowOff>
    </xdr:to>
    <xdr:sp macro="" textlink="$AV$37">
      <xdr:nvSpPr>
        <xdr:cNvPr id="111" name="Text Box 225">
          <a:extLst>
            <a:ext uri="{FF2B5EF4-FFF2-40B4-BE49-F238E27FC236}">
              <a16:creationId xmlns:a16="http://schemas.microsoft.com/office/drawing/2014/main" id="{00000000-0008-0000-0200-00006F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58</xdr:row>
      <xdr:rowOff>464344</xdr:rowOff>
    </xdr:from>
    <xdr:to>
      <xdr:col>16</xdr:col>
      <xdr:colOff>0</xdr:colOff>
      <xdr:row>60</xdr:row>
      <xdr:rowOff>0</xdr:rowOff>
    </xdr:to>
    <xdr:sp macro="" textlink="$AV$38">
      <xdr:nvSpPr>
        <xdr:cNvPr id="112" name="Text Box 226">
          <a:extLst>
            <a:ext uri="{FF2B5EF4-FFF2-40B4-BE49-F238E27FC236}">
              <a16:creationId xmlns:a16="http://schemas.microsoft.com/office/drawing/2014/main" id="{00000000-0008-0000-0200-000070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59</xdr:row>
      <xdr:rowOff>0</xdr:rowOff>
    </xdr:from>
    <xdr:to>
      <xdr:col>16</xdr:col>
      <xdr:colOff>0</xdr:colOff>
      <xdr:row>59</xdr:row>
      <xdr:rowOff>164224</xdr:rowOff>
    </xdr:to>
    <xdr:sp macro="" textlink="$AV$37">
      <xdr:nvSpPr>
        <xdr:cNvPr id="113" name="Text Box 225">
          <a:extLst>
            <a:ext uri="{FF2B5EF4-FFF2-40B4-BE49-F238E27FC236}">
              <a16:creationId xmlns:a16="http://schemas.microsoft.com/office/drawing/2014/main" id="{00000000-0008-0000-0200-000071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59</xdr:row>
      <xdr:rowOff>464344</xdr:rowOff>
    </xdr:from>
    <xdr:to>
      <xdr:col>16</xdr:col>
      <xdr:colOff>0</xdr:colOff>
      <xdr:row>61</xdr:row>
      <xdr:rowOff>0</xdr:rowOff>
    </xdr:to>
    <xdr:sp macro="" textlink="$AV$38">
      <xdr:nvSpPr>
        <xdr:cNvPr id="114" name="Text Box 226">
          <a:extLst>
            <a:ext uri="{FF2B5EF4-FFF2-40B4-BE49-F238E27FC236}">
              <a16:creationId xmlns:a16="http://schemas.microsoft.com/office/drawing/2014/main" id="{00000000-0008-0000-0200-000072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60</xdr:row>
      <xdr:rowOff>0</xdr:rowOff>
    </xdr:from>
    <xdr:to>
      <xdr:col>16</xdr:col>
      <xdr:colOff>0</xdr:colOff>
      <xdr:row>60</xdr:row>
      <xdr:rowOff>164224</xdr:rowOff>
    </xdr:to>
    <xdr:sp macro="" textlink="$AV$37">
      <xdr:nvSpPr>
        <xdr:cNvPr id="115" name="Text Box 225">
          <a:extLst>
            <a:ext uri="{FF2B5EF4-FFF2-40B4-BE49-F238E27FC236}">
              <a16:creationId xmlns:a16="http://schemas.microsoft.com/office/drawing/2014/main" id="{00000000-0008-0000-0200-000073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60</xdr:row>
      <xdr:rowOff>464344</xdr:rowOff>
    </xdr:from>
    <xdr:to>
      <xdr:col>16</xdr:col>
      <xdr:colOff>0</xdr:colOff>
      <xdr:row>62</xdr:row>
      <xdr:rowOff>0</xdr:rowOff>
    </xdr:to>
    <xdr:sp macro="" textlink="$AV$38">
      <xdr:nvSpPr>
        <xdr:cNvPr id="116" name="Text Box 226">
          <a:extLst>
            <a:ext uri="{FF2B5EF4-FFF2-40B4-BE49-F238E27FC236}">
              <a16:creationId xmlns:a16="http://schemas.microsoft.com/office/drawing/2014/main" id="{00000000-0008-0000-0200-000074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61</xdr:row>
      <xdr:rowOff>0</xdr:rowOff>
    </xdr:from>
    <xdr:to>
      <xdr:col>16</xdr:col>
      <xdr:colOff>0</xdr:colOff>
      <xdr:row>61</xdr:row>
      <xdr:rowOff>164224</xdr:rowOff>
    </xdr:to>
    <xdr:sp macro="" textlink="$AV$37">
      <xdr:nvSpPr>
        <xdr:cNvPr id="117" name="Text Box 225">
          <a:extLst>
            <a:ext uri="{FF2B5EF4-FFF2-40B4-BE49-F238E27FC236}">
              <a16:creationId xmlns:a16="http://schemas.microsoft.com/office/drawing/2014/main" id="{00000000-0008-0000-0200-000075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61</xdr:row>
      <xdr:rowOff>464344</xdr:rowOff>
    </xdr:from>
    <xdr:to>
      <xdr:col>16</xdr:col>
      <xdr:colOff>0</xdr:colOff>
      <xdr:row>63</xdr:row>
      <xdr:rowOff>0</xdr:rowOff>
    </xdr:to>
    <xdr:sp macro="" textlink="$AV$38">
      <xdr:nvSpPr>
        <xdr:cNvPr id="118" name="Text Box 226">
          <a:extLst>
            <a:ext uri="{FF2B5EF4-FFF2-40B4-BE49-F238E27FC236}">
              <a16:creationId xmlns:a16="http://schemas.microsoft.com/office/drawing/2014/main" id="{00000000-0008-0000-0200-000076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62</xdr:row>
      <xdr:rowOff>0</xdr:rowOff>
    </xdr:from>
    <xdr:to>
      <xdr:col>16</xdr:col>
      <xdr:colOff>0</xdr:colOff>
      <xdr:row>62</xdr:row>
      <xdr:rowOff>164224</xdr:rowOff>
    </xdr:to>
    <xdr:sp macro="" textlink="$AV$37">
      <xdr:nvSpPr>
        <xdr:cNvPr id="119" name="Text Box 225">
          <a:extLst>
            <a:ext uri="{FF2B5EF4-FFF2-40B4-BE49-F238E27FC236}">
              <a16:creationId xmlns:a16="http://schemas.microsoft.com/office/drawing/2014/main" id="{00000000-0008-0000-0200-000077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62</xdr:row>
      <xdr:rowOff>464344</xdr:rowOff>
    </xdr:from>
    <xdr:to>
      <xdr:col>16</xdr:col>
      <xdr:colOff>0</xdr:colOff>
      <xdr:row>64</xdr:row>
      <xdr:rowOff>0</xdr:rowOff>
    </xdr:to>
    <xdr:sp macro="" textlink="$AV$38">
      <xdr:nvSpPr>
        <xdr:cNvPr id="120" name="Text Box 226">
          <a:extLst>
            <a:ext uri="{FF2B5EF4-FFF2-40B4-BE49-F238E27FC236}">
              <a16:creationId xmlns:a16="http://schemas.microsoft.com/office/drawing/2014/main" id="{00000000-0008-0000-0200-000078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63</xdr:row>
      <xdr:rowOff>0</xdr:rowOff>
    </xdr:from>
    <xdr:to>
      <xdr:col>16</xdr:col>
      <xdr:colOff>0</xdr:colOff>
      <xdr:row>63</xdr:row>
      <xdr:rowOff>164224</xdr:rowOff>
    </xdr:to>
    <xdr:sp macro="" textlink="$AV$37">
      <xdr:nvSpPr>
        <xdr:cNvPr id="121" name="Text Box 225">
          <a:extLst>
            <a:ext uri="{FF2B5EF4-FFF2-40B4-BE49-F238E27FC236}">
              <a16:creationId xmlns:a16="http://schemas.microsoft.com/office/drawing/2014/main" id="{00000000-0008-0000-0200-000079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63</xdr:row>
      <xdr:rowOff>464344</xdr:rowOff>
    </xdr:from>
    <xdr:to>
      <xdr:col>16</xdr:col>
      <xdr:colOff>0</xdr:colOff>
      <xdr:row>65</xdr:row>
      <xdr:rowOff>0</xdr:rowOff>
    </xdr:to>
    <xdr:sp macro="" textlink="$AV$38">
      <xdr:nvSpPr>
        <xdr:cNvPr id="122" name="Text Box 226">
          <a:extLst>
            <a:ext uri="{FF2B5EF4-FFF2-40B4-BE49-F238E27FC236}">
              <a16:creationId xmlns:a16="http://schemas.microsoft.com/office/drawing/2014/main" id="{00000000-0008-0000-0200-00007A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64</xdr:row>
      <xdr:rowOff>0</xdr:rowOff>
    </xdr:from>
    <xdr:to>
      <xdr:col>16</xdr:col>
      <xdr:colOff>0</xdr:colOff>
      <xdr:row>64</xdr:row>
      <xdr:rowOff>164224</xdr:rowOff>
    </xdr:to>
    <xdr:sp macro="" textlink="$AV$37">
      <xdr:nvSpPr>
        <xdr:cNvPr id="123" name="Text Box 225">
          <a:extLst>
            <a:ext uri="{FF2B5EF4-FFF2-40B4-BE49-F238E27FC236}">
              <a16:creationId xmlns:a16="http://schemas.microsoft.com/office/drawing/2014/main" id="{00000000-0008-0000-0200-00007B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64</xdr:row>
      <xdr:rowOff>464344</xdr:rowOff>
    </xdr:from>
    <xdr:to>
      <xdr:col>16</xdr:col>
      <xdr:colOff>0</xdr:colOff>
      <xdr:row>66</xdr:row>
      <xdr:rowOff>0</xdr:rowOff>
    </xdr:to>
    <xdr:sp macro="" textlink="$AV$38">
      <xdr:nvSpPr>
        <xdr:cNvPr id="124" name="Text Box 226">
          <a:extLst>
            <a:ext uri="{FF2B5EF4-FFF2-40B4-BE49-F238E27FC236}">
              <a16:creationId xmlns:a16="http://schemas.microsoft.com/office/drawing/2014/main" id="{00000000-0008-0000-0200-00007C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65</xdr:row>
      <xdr:rowOff>0</xdr:rowOff>
    </xdr:from>
    <xdr:to>
      <xdr:col>16</xdr:col>
      <xdr:colOff>0</xdr:colOff>
      <xdr:row>65</xdr:row>
      <xdr:rowOff>164224</xdr:rowOff>
    </xdr:to>
    <xdr:sp macro="" textlink="$AV$37">
      <xdr:nvSpPr>
        <xdr:cNvPr id="125" name="Text Box 225">
          <a:extLst>
            <a:ext uri="{FF2B5EF4-FFF2-40B4-BE49-F238E27FC236}">
              <a16:creationId xmlns:a16="http://schemas.microsoft.com/office/drawing/2014/main" id="{00000000-0008-0000-0200-00007D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65</xdr:row>
      <xdr:rowOff>464344</xdr:rowOff>
    </xdr:from>
    <xdr:to>
      <xdr:col>16</xdr:col>
      <xdr:colOff>0</xdr:colOff>
      <xdr:row>67</xdr:row>
      <xdr:rowOff>0</xdr:rowOff>
    </xdr:to>
    <xdr:sp macro="" textlink="$AV$38">
      <xdr:nvSpPr>
        <xdr:cNvPr id="126" name="Text Box 226">
          <a:extLst>
            <a:ext uri="{FF2B5EF4-FFF2-40B4-BE49-F238E27FC236}">
              <a16:creationId xmlns:a16="http://schemas.microsoft.com/office/drawing/2014/main" id="{00000000-0008-0000-0200-00007E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66</xdr:row>
      <xdr:rowOff>0</xdr:rowOff>
    </xdr:from>
    <xdr:to>
      <xdr:col>16</xdr:col>
      <xdr:colOff>0</xdr:colOff>
      <xdr:row>66</xdr:row>
      <xdr:rowOff>164224</xdr:rowOff>
    </xdr:to>
    <xdr:sp macro="" textlink="$AV$37">
      <xdr:nvSpPr>
        <xdr:cNvPr id="127" name="Text Box 225">
          <a:extLst>
            <a:ext uri="{FF2B5EF4-FFF2-40B4-BE49-F238E27FC236}">
              <a16:creationId xmlns:a16="http://schemas.microsoft.com/office/drawing/2014/main" id="{00000000-0008-0000-0200-00007F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66</xdr:row>
      <xdr:rowOff>464344</xdr:rowOff>
    </xdr:from>
    <xdr:to>
      <xdr:col>16</xdr:col>
      <xdr:colOff>0</xdr:colOff>
      <xdr:row>68</xdr:row>
      <xdr:rowOff>0</xdr:rowOff>
    </xdr:to>
    <xdr:sp macro="" textlink="$AV$38">
      <xdr:nvSpPr>
        <xdr:cNvPr id="128" name="Text Box 226">
          <a:extLst>
            <a:ext uri="{FF2B5EF4-FFF2-40B4-BE49-F238E27FC236}">
              <a16:creationId xmlns:a16="http://schemas.microsoft.com/office/drawing/2014/main" id="{00000000-0008-0000-0200-000080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710459</xdr:colOff>
      <xdr:row>5</xdr:row>
      <xdr:rowOff>128865</xdr:rowOff>
    </xdr:from>
    <xdr:to>
      <xdr:col>2</xdr:col>
      <xdr:colOff>828080</xdr:colOff>
      <xdr:row>6</xdr:row>
      <xdr:rowOff>132336</xdr:rowOff>
    </xdr:to>
    <xdr:sp macro="" textlink="">
      <xdr:nvSpPr>
        <xdr:cNvPr id="5" name="AutoShape 4" descr="help">
          <a:hlinkClick xmlns:r="http://schemas.openxmlformats.org/officeDocument/2006/relationships" r:id="rId1"/>
          <a:extLst>
            <a:ext uri="{FF2B5EF4-FFF2-40B4-BE49-F238E27FC236}">
              <a16:creationId xmlns:a16="http://schemas.microsoft.com/office/drawing/2014/main" id="{00000000-0008-0000-0300-000005000000}"/>
            </a:ext>
          </a:extLst>
        </xdr:cNvPr>
        <xdr:cNvSpPr>
          <a:spLocks noChangeArrowheads="1"/>
        </xdr:cNvSpPr>
      </xdr:nvSpPr>
      <xdr:spPr bwMode="auto">
        <a:xfrm>
          <a:off x="1295566" y="2237972"/>
          <a:ext cx="838800" cy="248400"/>
        </a:xfrm>
        <a:prstGeom prst="rect">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chemeClr val="tx1"/>
              </a:solidFill>
              <a:latin typeface="Arial"/>
              <a:cs typeface="Arial"/>
            </a:rPr>
            <a:t>Main Menu</a:t>
          </a:r>
        </a:p>
      </xdr:txBody>
    </xdr:sp>
    <xdr:clientData/>
  </xdr:twoCellAnchor>
  <xdr:twoCellAnchor>
    <xdr:from>
      <xdr:col>2</xdr:col>
      <xdr:colOff>1059367</xdr:colOff>
      <xdr:row>5</xdr:row>
      <xdr:rowOff>140071</xdr:rowOff>
    </xdr:from>
    <xdr:to>
      <xdr:col>5</xdr:col>
      <xdr:colOff>215982</xdr:colOff>
      <xdr:row>6</xdr:row>
      <xdr:rowOff>141941</xdr:rowOff>
    </xdr:to>
    <xdr:sp macro="" textlink="">
      <xdr:nvSpPr>
        <xdr:cNvPr id="7" name="AutoShape 8" descr="help">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2370455" y="2213159"/>
          <a:ext cx="1958086" cy="248400"/>
        </a:xfrm>
        <a:prstGeom prst="rect">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0" anchor="ctr" upright="1"/>
        <a:lstStyle/>
        <a:p>
          <a:pPr algn="ctr" rtl="0">
            <a:defRPr sz="1000"/>
          </a:pPr>
          <a:r>
            <a:rPr lang="en-AU" sz="800" b="1" i="0" u="none" strike="noStrike" baseline="0">
              <a:solidFill>
                <a:schemeClr val="tx1"/>
              </a:solidFill>
              <a:latin typeface="Arial"/>
              <a:cs typeface="Arial"/>
            </a:rPr>
            <a:t>Residential Lighting Calculator</a:t>
          </a:r>
        </a:p>
        <a:p>
          <a:pPr algn="ctr" rtl="0">
            <a:defRPr sz="1000"/>
          </a:pPr>
          <a:endParaRPr lang="en-AU" sz="800" b="1" i="0" u="none" strike="noStrike" baseline="0">
            <a:solidFill>
              <a:schemeClr val="tx1"/>
            </a:solidFill>
            <a:latin typeface="Arial"/>
            <a:cs typeface="Arial"/>
          </a:endParaRPr>
        </a:p>
      </xdr:txBody>
    </xdr:sp>
    <xdr:clientData/>
  </xdr:twoCellAnchor>
  <xdr:twoCellAnchor editAs="oneCell">
    <xdr:from>
      <xdr:col>0</xdr:col>
      <xdr:colOff>0</xdr:colOff>
      <xdr:row>0</xdr:row>
      <xdr:rowOff>1</xdr:rowOff>
    </xdr:from>
    <xdr:to>
      <xdr:col>15</xdr:col>
      <xdr:colOff>13606</xdr:colOff>
      <xdr:row>5</xdr:row>
      <xdr:rowOff>13608</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
          <a:ext cx="11824606" cy="2122714"/>
        </a:xfrm>
        <a:prstGeom prst="rect">
          <a:avLst/>
        </a:prstGeom>
      </xdr:spPr>
    </xdr:pic>
    <xdr:clientData/>
  </xdr:twoCellAnchor>
  <xdr:oneCellAnchor>
    <xdr:from>
      <xdr:col>1</xdr:col>
      <xdr:colOff>213831</xdr:colOff>
      <xdr:row>0</xdr:row>
      <xdr:rowOff>264327</xdr:rowOff>
    </xdr:from>
    <xdr:ext cx="722807" cy="1017003"/>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8938" y="264327"/>
          <a:ext cx="722807" cy="1017003"/>
        </a:xfrm>
        <a:prstGeom prst="rect">
          <a:avLst/>
        </a:prstGeom>
      </xdr:spPr>
    </xdr:pic>
    <xdr:clientData/>
  </xdr:oneCellAnchor>
  <xdr:twoCellAnchor>
    <xdr:from>
      <xdr:col>1</xdr:col>
      <xdr:colOff>444041</xdr:colOff>
      <xdr:row>1</xdr:row>
      <xdr:rowOff>96199</xdr:rowOff>
    </xdr:from>
    <xdr:to>
      <xdr:col>14</xdr:col>
      <xdr:colOff>177971</xdr:colOff>
      <xdr:row>3</xdr:row>
      <xdr:rowOff>213881</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1029148" y="518020"/>
          <a:ext cx="10020930" cy="96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2400">
              <a:solidFill>
                <a:schemeClr val="bg1"/>
              </a:solidFill>
              <a:latin typeface="Arial" panose="020B0604020202020204" pitchFamily="34" charset="0"/>
              <a:cs typeface="Arial" panose="020B0604020202020204" pitchFamily="34" charset="0"/>
            </a:rPr>
            <a:t>Lighting</a:t>
          </a:r>
          <a:endParaRPr lang="en-US" sz="2400" baseline="0">
            <a:solidFill>
              <a:schemeClr val="bg1"/>
            </a:solidFill>
            <a:latin typeface="Arial" panose="020B0604020202020204" pitchFamily="34" charset="0"/>
            <a:cs typeface="Arial" panose="020B0604020202020204" pitchFamily="34" charset="0"/>
          </a:endParaRPr>
        </a:p>
        <a:p>
          <a:pPr algn="ctr">
            <a:lnSpc>
              <a:spcPct val="75000"/>
            </a:lnSpc>
          </a:pPr>
          <a:br>
            <a:rPr lang="en-US" sz="1400" baseline="0">
              <a:solidFill>
                <a:schemeClr val="bg1"/>
              </a:solidFill>
              <a:latin typeface="Arial" panose="020B0604020202020204" pitchFamily="34" charset="0"/>
              <a:cs typeface="Arial" panose="020B0604020202020204" pitchFamily="34" charset="0"/>
            </a:rPr>
          </a:br>
          <a:r>
            <a:rPr lang="en-US" sz="1400" baseline="0">
              <a:solidFill>
                <a:schemeClr val="bg1"/>
              </a:solidFill>
              <a:latin typeface="Arial" panose="020B0604020202020204" pitchFamily="34" charset="0"/>
              <a:cs typeface="Arial" panose="020B0604020202020204" pitchFamily="34" charset="0"/>
            </a:rPr>
            <a:t>Adjustment factors</a:t>
          </a:r>
          <a:endParaRPr lang="en-US" sz="2400">
            <a:solidFill>
              <a:schemeClr val="bg1"/>
            </a:solidFill>
            <a:latin typeface="Arial" panose="020B0604020202020204" pitchFamily="34" charset="0"/>
            <a:cs typeface="Arial" panose="020B0604020202020204" pitchFamily="34" charset="0"/>
          </a:endParaRPr>
        </a:p>
      </xdr:txBody>
    </xdr:sp>
    <xdr:clientData/>
  </xdr:twoCellAnchor>
  <xdr:oneCellAnchor>
    <xdr:from>
      <xdr:col>12</xdr:col>
      <xdr:colOff>853251</xdr:colOff>
      <xdr:row>0</xdr:row>
      <xdr:rowOff>292686</xdr:rowOff>
    </xdr:from>
    <xdr:ext cx="1714500" cy="624086"/>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248858" y="292686"/>
          <a:ext cx="1714500" cy="624086"/>
        </a:xfrm>
        <a:prstGeom prst="rect">
          <a:avLst/>
        </a:prstGeom>
      </xdr:spPr>
    </xdr:pic>
    <xdr:clientData/>
  </xdr:oneCellAnchor>
  <xdr:twoCellAnchor editAs="oneCell">
    <xdr:from>
      <xdr:col>13</xdr:col>
      <xdr:colOff>1138171</xdr:colOff>
      <xdr:row>3</xdr:row>
      <xdr:rowOff>23504</xdr:rowOff>
    </xdr:from>
    <xdr:to>
      <xdr:col>13</xdr:col>
      <xdr:colOff>1711453</xdr:colOff>
      <xdr:row>4</xdr:row>
      <xdr:rowOff>187811</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445457" y="1288968"/>
          <a:ext cx="573282" cy="5861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6</xdr:row>
      <xdr:rowOff>0</xdr:rowOff>
    </xdr:from>
    <xdr:to>
      <xdr:col>4</xdr:col>
      <xdr:colOff>0</xdr:colOff>
      <xdr:row>7</xdr:row>
      <xdr:rowOff>114300</xdr:rowOff>
    </xdr:to>
    <xdr:sp macro="" textlink="">
      <xdr:nvSpPr>
        <xdr:cNvPr id="20481" name="AutoShape 1" descr="help">
          <a:hlinkClick xmlns:r="http://schemas.openxmlformats.org/officeDocument/2006/relationships" r:id="rId1"/>
          <a:extLst>
            <a:ext uri="{FF2B5EF4-FFF2-40B4-BE49-F238E27FC236}">
              <a16:creationId xmlns:a16="http://schemas.microsoft.com/office/drawing/2014/main" id="{00000000-0008-0000-0400-000001500000}"/>
            </a:ext>
          </a:extLst>
        </xdr:cNvPr>
        <xdr:cNvSpPr>
          <a:spLocks noChangeArrowheads="1"/>
        </xdr:cNvSpPr>
      </xdr:nvSpPr>
      <xdr:spPr bwMode="auto">
        <a:xfrm>
          <a:off x="142876" y="971550"/>
          <a:ext cx="1771649" cy="276225"/>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36576" tIns="22860" rIns="36576" bIns="22860" anchor="ctr" upright="1"/>
        <a:lstStyle/>
        <a:p>
          <a:pPr algn="ctr" rtl="0">
            <a:defRPr sz="1000"/>
          </a:pPr>
          <a:r>
            <a:rPr lang="en-AU" sz="1200" b="0" i="0" u="none" strike="noStrike" baseline="0">
              <a:solidFill>
                <a:schemeClr val="tx1"/>
              </a:solidFill>
              <a:latin typeface="Arial"/>
              <a:cs typeface="Arial"/>
            </a:rPr>
            <a:t>Return to Main Menu</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43258</xdr:colOff>
      <xdr:row>159</xdr:row>
      <xdr:rowOff>135935</xdr:rowOff>
    </xdr:from>
    <xdr:to>
      <xdr:col>20</xdr:col>
      <xdr:colOff>207319</xdr:colOff>
      <xdr:row>193</xdr:row>
      <xdr:rowOff>86405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151" y="25581292"/>
          <a:ext cx="10691227" cy="5497422"/>
        </a:xfrm>
        <a:prstGeom prst="rect">
          <a:avLst/>
        </a:prstGeom>
      </xdr:spPr>
    </xdr:pic>
    <xdr:clientData/>
  </xdr:twoCellAnchor>
  <xdr:twoCellAnchor editAs="oneCell">
    <xdr:from>
      <xdr:col>2</xdr:col>
      <xdr:colOff>28357</xdr:colOff>
      <xdr:row>107</xdr:row>
      <xdr:rowOff>158564</xdr:rowOff>
    </xdr:from>
    <xdr:to>
      <xdr:col>20</xdr:col>
      <xdr:colOff>217715</xdr:colOff>
      <xdr:row>141</xdr:row>
      <xdr:rowOff>126014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6250" y="18038350"/>
          <a:ext cx="10721286" cy="5519164"/>
        </a:xfrm>
        <a:prstGeom prst="rect">
          <a:avLst/>
        </a:prstGeom>
      </xdr:spPr>
    </xdr:pic>
    <xdr:clientData/>
  </xdr:twoCellAnchor>
  <xdr:twoCellAnchor>
    <xdr:from>
      <xdr:col>12</xdr:col>
      <xdr:colOff>361950</xdr:colOff>
      <xdr:row>153</xdr:row>
      <xdr:rowOff>142875</xdr:rowOff>
    </xdr:from>
    <xdr:to>
      <xdr:col>14</xdr:col>
      <xdr:colOff>57150</xdr:colOff>
      <xdr:row>157</xdr:row>
      <xdr:rowOff>0</xdr:rowOff>
    </xdr:to>
    <xdr:sp macro="" textlink="">
      <xdr:nvSpPr>
        <xdr:cNvPr id="21754" name="Rectangle 29">
          <a:extLst>
            <a:ext uri="{FF2B5EF4-FFF2-40B4-BE49-F238E27FC236}">
              <a16:creationId xmlns:a16="http://schemas.microsoft.com/office/drawing/2014/main" id="{00000000-0008-0000-0500-0000FA540000}"/>
            </a:ext>
          </a:extLst>
        </xdr:cNvPr>
        <xdr:cNvSpPr>
          <a:spLocks noChangeArrowheads="1"/>
        </xdr:cNvSpPr>
      </xdr:nvSpPr>
      <xdr:spPr bwMode="auto">
        <a:xfrm>
          <a:off x="7677150" y="30546675"/>
          <a:ext cx="914400" cy="914400"/>
        </a:xfrm>
        <a:prstGeom prst="rect">
          <a:avLst/>
        </a:prstGeom>
        <a:noFill/>
        <a:ln w="9525" algn="ctr">
          <a:noFill/>
          <a:miter lim="800000"/>
          <a:headEnd/>
          <a:tailEnd/>
        </a:ln>
      </xdr:spPr>
    </xdr:sp>
    <xdr:clientData/>
  </xdr:twoCellAnchor>
  <xdr:twoCellAnchor>
    <xdr:from>
      <xdr:col>2</xdr:col>
      <xdr:colOff>54799</xdr:colOff>
      <xdr:row>5</xdr:row>
      <xdr:rowOff>77603</xdr:rowOff>
    </xdr:from>
    <xdr:to>
      <xdr:col>20</xdr:col>
      <xdr:colOff>258536</xdr:colOff>
      <xdr:row>43</xdr:row>
      <xdr:rowOff>150067</xdr:rowOff>
    </xdr:to>
    <xdr:grpSp>
      <xdr:nvGrpSpPr>
        <xdr:cNvPr id="8" name="Group 7">
          <a:extLst>
            <a:ext uri="{FF2B5EF4-FFF2-40B4-BE49-F238E27FC236}">
              <a16:creationId xmlns:a16="http://schemas.microsoft.com/office/drawing/2014/main" id="{C37D7949-A788-41B6-BEE6-40D156A7CFA1}"/>
            </a:ext>
          </a:extLst>
        </xdr:cNvPr>
        <xdr:cNvGrpSpPr/>
      </xdr:nvGrpSpPr>
      <xdr:grpSpPr>
        <a:xfrm>
          <a:off x="659917" y="3316103"/>
          <a:ext cx="11700972" cy="5563346"/>
          <a:chOff x="664399" y="3316103"/>
          <a:chExt cx="11690887" cy="5730314"/>
        </a:xfrm>
      </xdr:grpSpPr>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4399" y="3316103"/>
            <a:ext cx="11690887" cy="5730314"/>
          </a:xfrm>
          <a:prstGeom prst="rect">
            <a:avLst/>
          </a:prstGeom>
        </xdr:spPr>
      </xdr:pic>
      <xdr:pic>
        <xdr:nvPicPr>
          <xdr:cNvPr id="7" name="Picture 6">
            <a:extLst>
              <a:ext uri="{FF2B5EF4-FFF2-40B4-BE49-F238E27FC236}">
                <a16:creationId xmlns:a16="http://schemas.microsoft.com/office/drawing/2014/main" id="{87287A64-F5F8-4043-98AA-907D1FBB5BEF}"/>
              </a:ext>
            </a:extLst>
          </xdr:cNvPr>
          <xdr:cNvPicPr>
            <a:picLocks noChangeAspect="1"/>
          </xdr:cNvPicPr>
        </xdr:nvPicPr>
        <xdr:blipFill>
          <a:blip xmlns:r="http://schemas.openxmlformats.org/officeDocument/2006/relationships" r:embed="rId4"/>
          <a:stretch>
            <a:fillRect/>
          </a:stretch>
        </xdr:blipFill>
        <xdr:spPr>
          <a:xfrm>
            <a:off x="665902" y="3316103"/>
            <a:ext cx="8687878" cy="1048570"/>
          </a:xfrm>
          <a:prstGeom prst="rect">
            <a:avLst/>
          </a:prstGeom>
        </xdr:spPr>
      </xdr:pic>
      <xdr:grpSp>
        <xdr:nvGrpSpPr>
          <xdr:cNvPr id="6" name="Group 5">
            <a:extLst>
              <a:ext uri="{FF2B5EF4-FFF2-40B4-BE49-F238E27FC236}">
                <a16:creationId xmlns:a16="http://schemas.microsoft.com/office/drawing/2014/main" id="{4230E0F8-D786-4455-8028-2257F0168381}"/>
              </a:ext>
            </a:extLst>
          </xdr:cNvPr>
          <xdr:cNvGrpSpPr/>
        </xdr:nvGrpSpPr>
        <xdr:grpSpPr>
          <a:xfrm>
            <a:off x="819149" y="3400425"/>
            <a:ext cx="11303909" cy="5297044"/>
            <a:chOff x="821870" y="3401786"/>
            <a:chExt cx="11328402" cy="5336504"/>
          </a:xfrm>
        </xdr:grpSpPr>
        <xdr:sp macro="" textlink="">
          <xdr:nvSpPr>
            <xdr:cNvPr id="78" name="AutoShape 3642">
              <a:extLst>
                <a:ext uri="{FF2B5EF4-FFF2-40B4-BE49-F238E27FC236}">
                  <a16:creationId xmlns:a16="http://schemas.microsoft.com/office/drawing/2014/main" id="{00000000-0008-0000-0500-00004E000000}"/>
                </a:ext>
              </a:extLst>
            </xdr:cNvPr>
            <xdr:cNvSpPr>
              <a:spLocks noChangeArrowheads="1"/>
            </xdr:cNvSpPr>
          </xdr:nvSpPr>
          <xdr:spPr bwMode="auto">
            <a:xfrm>
              <a:off x="2185533" y="5845551"/>
              <a:ext cx="2041522" cy="1481940"/>
            </a:xfrm>
            <a:prstGeom prst="wedgeRoundRectCallout">
              <a:avLst>
                <a:gd name="adj1" fmla="val -96136"/>
                <a:gd name="adj2" fmla="val 56976"/>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 change the number of rows displayed (step 2 of 2):</a:t>
              </a:r>
            </a:p>
            <a:p>
              <a:pPr algn="l" rtl="0">
                <a:defRPr sz="1000"/>
              </a:pPr>
              <a:endParaRPr lang="en-AU" sz="400" b="1"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Click the arrow in the red filled heading above and then select the only number in the drop down list. (This number will always match the number input for step 1.)</a:t>
              </a:r>
            </a:p>
          </xdr:txBody>
        </xdr:sp>
        <xdr:sp macro="" textlink="">
          <xdr:nvSpPr>
            <xdr:cNvPr id="79" name="AutoShape 3641">
              <a:extLst>
                <a:ext uri="{FF2B5EF4-FFF2-40B4-BE49-F238E27FC236}">
                  <a16:creationId xmlns:a16="http://schemas.microsoft.com/office/drawing/2014/main" id="{00000000-0008-0000-0500-00004F000000}"/>
                </a:ext>
              </a:extLst>
            </xdr:cNvPr>
            <xdr:cNvSpPr>
              <a:spLocks noChangeArrowheads="1"/>
            </xdr:cNvSpPr>
          </xdr:nvSpPr>
          <xdr:spPr bwMode="auto">
            <a:xfrm>
              <a:off x="821870" y="4096883"/>
              <a:ext cx="2051048" cy="1268186"/>
            </a:xfrm>
            <a:prstGeom prst="wedgeRoundRectCallout">
              <a:avLst>
                <a:gd name="adj1" fmla="val 80386"/>
                <a:gd name="adj2" fmla="val 21285"/>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 change the number of rows displayed (step 1 of 2):</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Input the required number of rows here and press Enter. (This cell will not accept numbers that would cause rows with data to be hidden.)</a:t>
              </a:r>
            </a:p>
          </xdr:txBody>
        </xdr:sp>
        <xdr:sp macro="" textlink="">
          <xdr:nvSpPr>
            <xdr:cNvPr id="85" name="AutoShape 3641">
              <a:extLst>
                <a:ext uri="{FF2B5EF4-FFF2-40B4-BE49-F238E27FC236}">
                  <a16:creationId xmlns:a16="http://schemas.microsoft.com/office/drawing/2014/main" id="{00000000-0008-0000-0500-000055000000}"/>
                </a:ext>
              </a:extLst>
            </xdr:cNvPr>
            <xdr:cNvSpPr>
              <a:spLocks noChangeArrowheads="1"/>
            </xdr:cNvSpPr>
          </xdr:nvSpPr>
          <xdr:spPr bwMode="auto">
            <a:xfrm>
              <a:off x="9508068" y="3401786"/>
              <a:ext cx="2642204" cy="1233939"/>
            </a:xfrm>
            <a:prstGeom prst="wedgeRoundRectCallout">
              <a:avLst>
                <a:gd name="adj1" fmla="val 22724"/>
                <a:gd name="adj2" fmla="val 7351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Additional information table: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 table to the right of the calculator form provides additional information about the impact of any adjustment factors used for individual lighting systems.</a:t>
              </a:r>
            </a:p>
            <a:p>
              <a:pPr algn="l" rtl="0">
                <a:defRPr sz="1000"/>
              </a:pPr>
              <a:r>
                <a:rPr lang="en-AU" sz="1000" b="0" i="0" u="none" strike="noStrike" baseline="0">
                  <a:solidFill>
                    <a:srgbClr val="000000"/>
                  </a:solidFill>
                  <a:latin typeface="Arial"/>
                  <a:cs typeface="Arial"/>
                </a:rPr>
                <a:t>Scroll right to see the table.</a:t>
              </a:r>
            </a:p>
          </xdr:txBody>
        </xdr:sp>
        <xdr:sp macro="" textlink="">
          <xdr:nvSpPr>
            <xdr:cNvPr id="89" name="AutoShape 3640">
              <a:extLst>
                <a:ext uri="{FF2B5EF4-FFF2-40B4-BE49-F238E27FC236}">
                  <a16:creationId xmlns:a16="http://schemas.microsoft.com/office/drawing/2014/main" id="{00000000-0008-0000-0500-000059000000}"/>
                </a:ext>
              </a:extLst>
            </xdr:cNvPr>
            <xdr:cNvSpPr>
              <a:spLocks noChangeArrowheads="1"/>
            </xdr:cNvSpPr>
          </xdr:nvSpPr>
          <xdr:spPr bwMode="auto">
            <a:xfrm>
              <a:off x="9452239" y="7614332"/>
              <a:ext cx="1687496" cy="1123958"/>
            </a:xfrm>
            <a:prstGeom prst="wedgeRoundRectCallout">
              <a:avLst>
                <a:gd name="adj1" fmla="val 67612"/>
                <a:gd name="adj2" fmla="val 71674"/>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Zoom setting option: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Use the zoom to see the full width of the form depending on your screen resolution.</a:t>
              </a:r>
            </a:p>
          </xdr:txBody>
        </xdr:sp>
      </xdr:grpSp>
    </xdr:grpSp>
    <xdr:clientData/>
  </xdr:twoCellAnchor>
  <xdr:twoCellAnchor>
    <xdr:from>
      <xdr:col>6</xdr:col>
      <xdr:colOff>330803</xdr:colOff>
      <xdr:row>17</xdr:row>
      <xdr:rowOff>154517</xdr:rowOff>
    </xdr:from>
    <xdr:to>
      <xdr:col>7</xdr:col>
      <xdr:colOff>103682</xdr:colOff>
      <xdr:row>19</xdr:row>
      <xdr:rowOff>25400</xdr:rowOff>
    </xdr:to>
    <xdr:sp macro="" textlink="">
      <xdr:nvSpPr>
        <xdr:cNvPr id="91" name="AutoShape 8">
          <a:extLst>
            <a:ext uri="{FF2B5EF4-FFF2-40B4-BE49-F238E27FC236}">
              <a16:creationId xmlns:a16="http://schemas.microsoft.com/office/drawing/2014/main" id="{00000000-0008-0000-0500-00005B000000}"/>
            </a:ext>
          </a:extLst>
        </xdr:cNvPr>
        <xdr:cNvSpPr>
          <a:spLocks noChangeArrowheads="1"/>
        </xdr:cNvSpPr>
      </xdr:nvSpPr>
      <xdr:spPr bwMode="auto">
        <a:xfrm>
          <a:off x="3229124" y="4848981"/>
          <a:ext cx="357987" cy="197455"/>
        </a:xfrm>
        <a:prstGeom prst="roundRect">
          <a:avLst>
            <a:gd name="adj" fmla="val 16667"/>
          </a:avLst>
        </a:prstGeom>
        <a:noFill/>
        <a:ln w="19050" algn="ctr">
          <a:solidFill>
            <a:srgbClr val="FF0000"/>
          </a:solidFill>
          <a:round/>
          <a:headEnd/>
          <a:tailEnd/>
        </a:ln>
      </xdr:spPr>
    </xdr:sp>
    <xdr:clientData/>
  </xdr:twoCellAnchor>
  <xdr:twoCellAnchor>
    <xdr:from>
      <xdr:col>5</xdr:col>
      <xdr:colOff>415169</xdr:colOff>
      <xdr:row>187</xdr:row>
      <xdr:rowOff>161471</xdr:rowOff>
    </xdr:from>
    <xdr:to>
      <xdr:col>8</xdr:col>
      <xdr:colOff>377429</xdr:colOff>
      <xdr:row>195</xdr:row>
      <xdr:rowOff>5512</xdr:rowOff>
    </xdr:to>
    <xdr:sp macro="" textlink="">
      <xdr:nvSpPr>
        <xdr:cNvPr id="114" name="AutoShape 3641">
          <a:extLst>
            <a:ext uri="{FF2B5EF4-FFF2-40B4-BE49-F238E27FC236}">
              <a16:creationId xmlns:a16="http://schemas.microsoft.com/office/drawing/2014/main" id="{00000000-0008-0000-0500-000072000000}"/>
            </a:ext>
          </a:extLst>
        </xdr:cNvPr>
        <xdr:cNvSpPr>
          <a:spLocks noChangeArrowheads="1"/>
        </xdr:cNvSpPr>
      </xdr:nvSpPr>
      <xdr:spPr bwMode="auto">
        <a:xfrm>
          <a:off x="2728383" y="30178828"/>
          <a:ext cx="1717582" cy="1150327"/>
        </a:xfrm>
        <a:prstGeom prst="wedgeRoundRectCallout">
          <a:avLst>
            <a:gd name="adj1" fmla="val 65128"/>
            <a:gd name="adj2" fmla="val -4660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Locations for reporting: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Systems in the three different Locations input in this example are separately assessed and reported in the Outcomes columns.</a:t>
          </a:r>
        </a:p>
      </xdr:txBody>
    </xdr:sp>
    <xdr:clientData/>
  </xdr:twoCellAnchor>
  <xdr:twoCellAnchor>
    <xdr:from>
      <xdr:col>15</xdr:col>
      <xdr:colOff>556380</xdr:colOff>
      <xdr:row>160</xdr:row>
      <xdr:rowOff>120045</xdr:rowOff>
    </xdr:from>
    <xdr:to>
      <xdr:col>18</xdr:col>
      <xdr:colOff>560563</xdr:colOff>
      <xdr:row>168</xdr:row>
      <xdr:rowOff>58132</xdr:rowOff>
    </xdr:to>
    <xdr:sp macro="" textlink="">
      <xdr:nvSpPr>
        <xdr:cNvPr id="115" name="AutoShape 3641">
          <a:extLst>
            <a:ext uri="{FF2B5EF4-FFF2-40B4-BE49-F238E27FC236}">
              <a16:creationId xmlns:a16="http://schemas.microsoft.com/office/drawing/2014/main" id="{00000000-0008-0000-0500-000073000000}"/>
            </a:ext>
          </a:extLst>
        </xdr:cNvPr>
        <xdr:cNvSpPr>
          <a:spLocks noChangeArrowheads="1"/>
        </xdr:cNvSpPr>
      </xdr:nvSpPr>
      <xdr:spPr bwMode="auto">
        <a:xfrm>
          <a:off x="8720666" y="25728688"/>
          <a:ext cx="1759504" cy="1244373"/>
        </a:xfrm>
        <a:prstGeom prst="wedgeRoundRectCallout">
          <a:avLst>
            <a:gd name="adj1" fmla="val -59233"/>
            <a:gd name="adj2" fmla="val 7836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Advisory Note: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Note explains that separate aggregate allowances are calculated when there are inputs for lighting systems in different Locations.</a:t>
          </a:r>
        </a:p>
      </xdr:txBody>
    </xdr:sp>
    <xdr:clientData/>
  </xdr:twoCellAnchor>
  <xdr:twoCellAnchor>
    <xdr:from>
      <xdr:col>9</xdr:col>
      <xdr:colOff>488647</xdr:colOff>
      <xdr:row>166</xdr:row>
      <xdr:rowOff>115813</xdr:rowOff>
    </xdr:from>
    <xdr:to>
      <xdr:col>12</xdr:col>
      <xdr:colOff>472471</xdr:colOff>
      <xdr:row>172</xdr:row>
      <xdr:rowOff>147320</xdr:rowOff>
    </xdr:to>
    <xdr:sp macro="" textlink="">
      <xdr:nvSpPr>
        <xdr:cNvPr id="116" name="AutoShape 3641">
          <a:extLst>
            <a:ext uri="{FF2B5EF4-FFF2-40B4-BE49-F238E27FC236}">
              <a16:creationId xmlns:a16="http://schemas.microsoft.com/office/drawing/2014/main" id="{00000000-0008-0000-0500-000074000000}"/>
            </a:ext>
          </a:extLst>
        </xdr:cNvPr>
        <xdr:cNvSpPr>
          <a:spLocks noChangeArrowheads="1"/>
        </xdr:cNvSpPr>
      </xdr:nvSpPr>
      <xdr:spPr bwMode="auto">
        <a:xfrm>
          <a:off x="5142290" y="26704170"/>
          <a:ext cx="1739145" cy="1011221"/>
        </a:xfrm>
        <a:prstGeom prst="wedgeRoundRectCallout">
          <a:avLst>
            <a:gd name="adj1" fmla="val 89043"/>
            <a:gd name="adj2" fmla="val 4970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Outcomes heading: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area heading text and fill colour changes to indicate whether the overall design Passes or Fails.)</a:t>
          </a:r>
        </a:p>
      </xdr:txBody>
    </xdr:sp>
    <xdr:clientData/>
  </xdr:twoCellAnchor>
  <xdr:twoCellAnchor>
    <xdr:from>
      <xdr:col>9</xdr:col>
      <xdr:colOff>495905</xdr:colOff>
      <xdr:row>177</xdr:row>
      <xdr:rowOff>109160</xdr:rowOff>
    </xdr:from>
    <xdr:to>
      <xdr:col>12</xdr:col>
      <xdr:colOff>273055</xdr:colOff>
      <xdr:row>184</xdr:row>
      <xdr:rowOff>140183</xdr:rowOff>
    </xdr:to>
    <xdr:sp macro="" textlink="">
      <xdr:nvSpPr>
        <xdr:cNvPr id="117" name="AutoShape 3641">
          <a:extLst>
            <a:ext uri="{FF2B5EF4-FFF2-40B4-BE49-F238E27FC236}">
              <a16:creationId xmlns:a16="http://schemas.microsoft.com/office/drawing/2014/main" id="{00000000-0008-0000-0500-000075000000}"/>
            </a:ext>
          </a:extLst>
        </xdr:cNvPr>
        <xdr:cNvSpPr>
          <a:spLocks noChangeArrowheads="1"/>
        </xdr:cNvSpPr>
      </xdr:nvSpPr>
      <xdr:spPr bwMode="auto">
        <a:xfrm>
          <a:off x="5149548" y="28493660"/>
          <a:ext cx="1532471" cy="1174023"/>
        </a:xfrm>
        <a:prstGeom prst="wedgeRoundRectCallout">
          <a:avLst>
            <a:gd name="adj1" fmla="val 73277"/>
            <a:gd name="adj2" fmla="val -2096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Allowance column: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Text and fill colour in this column matches the formatting of the "System Share" column on the right of the table.</a:t>
          </a:r>
        </a:p>
      </xdr:txBody>
    </xdr:sp>
    <xdr:clientData/>
  </xdr:twoCellAnchor>
  <xdr:twoCellAnchor>
    <xdr:from>
      <xdr:col>17</xdr:col>
      <xdr:colOff>58057</xdr:colOff>
      <xdr:row>168</xdr:row>
      <xdr:rowOff>158446</xdr:rowOff>
    </xdr:from>
    <xdr:to>
      <xdr:col>19</xdr:col>
      <xdr:colOff>403827</xdr:colOff>
      <xdr:row>177</xdr:row>
      <xdr:rowOff>3820</xdr:rowOff>
    </xdr:to>
    <xdr:sp macro="" textlink="">
      <xdr:nvSpPr>
        <xdr:cNvPr id="118" name="AutoShape 3641">
          <a:extLst>
            <a:ext uri="{FF2B5EF4-FFF2-40B4-BE49-F238E27FC236}">
              <a16:creationId xmlns:a16="http://schemas.microsoft.com/office/drawing/2014/main" id="{00000000-0008-0000-0500-000076000000}"/>
            </a:ext>
          </a:extLst>
        </xdr:cNvPr>
        <xdr:cNvSpPr>
          <a:spLocks noChangeArrowheads="1"/>
        </xdr:cNvSpPr>
      </xdr:nvSpPr>
      <xdr:spPr bwMode="auto">
        <a:xfrm>
          <a:off x="9392557" y="27073375"/>
          <a:ext cx="1515984" cy="1314945"/>
        </a:xfrm>
        <a:prstGeom prst="wedgeRoundRectCallout">
          <a:avLst>
            <a:gd name="adj1" fmla="val -148158"/>
            <a:gd name="adj2" fmla="val 8668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Space Outcomes: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Red font on white fill shows that a system exceeds the allowance for its Space when the aggregate for the Location still Passes.</a:t>
          </a:r>
        </a:p>
      </xdr:txBody>
    </xdr:sp>
    <xdr:clientData/>
  </xdr:twoCellAnchor>
  <xdr:twoCellAnchor>
    <xdr:from>
      <xdr:col>16</xdr:col>
      <xdr:colOff>205015</xdr:colOff>
      <xdr:row>177</xdr:row>
      <xdr:rowOff>79223</xdr:rowOff>
    </xdr:from>
    <xdr:to>
      <xdr:col>19</xdr:col>
      <xdr:colOff>219455</xdr:colOff>
      <xdr:row>186</xdr:row>
      <xdr:rowOff>4625</xdr:rowOff>
    </xdr:to>
    <xdr:sp macro="" textlink="">
      <xdr:nvSpPr>
        <xdr:cNvPr id="119" name="AutoShape 3641">
          <a:extLst>
            <a:ext uri="{FF2B5EF4-FFF2-40B4-BE49-F238E27FC236}">
              <a16:creationId xmlns:a16="http://schemas.microsoft.com/office/drawing/2014/main" id="{00000000-0008-0000-0500-000077000000}"/>
            </a:ext>
          </a:extLst>
        </xdr:cNvPr>
        <xdr:cNvSpPr>
          <a:spLocks noChangeArrowheads="1"/>
        </xdr:cNvSpPr>
      </xdr:nvSpPr>
      <xdr:spPr bwMode="auto">
        <a:xfrm>
          <a:off x="8954408" y="28463723"/>
          <a:ext cx="1769761" cy="1394973"/>
        </a:xfrm>
        <a:prstGeom prst="wedgeRoundRectCallout">
          <a:avLst>
            <a:gd name="adj1" fmla="val -71207"/>
            <a:gd name="adj2" fmla="val -1485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System Shares and Location Outcomes: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Help screen explains how to interpret these % values. Green fill indicates an aggregate Pass for the Systems in each Location.</a:t>
          </a:r>
        </a:p>
      </xdr:txBody>
    </xdr:sp>
    <xdr:clientData/>
  </xdr:twoCellAnchor>
  <xdr:twoCellAnchor>
    <xdr:from>
      <xdr:col>16</xdr:col>
      <xdr:colOff>273654</xdr:colOff>
      <xdr:row>186</xdr:row>
      <xdr:rowOff>95251</xdr:rowOff>
    </xdr:from>
    <xdr:to>
      <xdr:col>18</xdr:col>
      <xdr:colOff>446063</xdr:colOff>
      <xdr:row>191</xdr:row>
      <xdr:rowOff>117231</xdr:rowOff>
    </xdr:to>
    <xdr:sp macro="" textlink="">
      <xdr:nvSpPr>
        <xdr:cNvPr id="120" name="AutoShape 3641">
          <a:extLst>
            <a:ext uri="{FF2B5EF4-FFF2-40B4-BE49-F238E27FC236}">
              <a16:creationId xmlns:a16="http://schemas.microsoft.com/office/drawing/2014/main" id="{00000000-0008-0000-0500-000078000000}"/>
            </a:ext>
          </a:extLst>
        </xdr:cNvPr>
        <xdr:cNvSpPr>
          <a:spLocks noChangeArrowheads="1"/>
        </xdr:cNvSpPr>
      </xdr:nvSpPr>
      <xdr:spPr bwMode="auto">
        <a:xfrm>
          <a:off x="9023047" y="29949322"/>
          <a:ext cx="1342623" cy="838409"/>
        </a:xfrm>
        <a:prstGeom prst="wedgeRoundRectCallout">
          <a:avLst>
            <a:gd name="adj1" fmla="val -112943"/>
            <a:gd name="adj2" fmla="val -7410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Critical Location: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Failure for this Location causes the overall design to Fail.</a:t>
          </a:r>
        </a:p>
      </xdr:txBody>
    </xdr:sp>
    <xdr:clientData/>
  </xdr:twoCellAnchor>
  <xdr:twoCellAnchor>
    <xdr:from>
      <xdr:col>9</xdr:col>
      <xdr:colOff>392792</xdr:colOff>
      <xdr:row>189</xdr:row>
      <xdr:rowOff>94645</xdr:rowOff>
    </xdr:from>
    <xdr:to>
      <xdr:col>12</xdr:col>
      <xdr:colOff>139442</xdr:colOff>
      <xdr:row>196</xdr:row>
      <xdr:rowOff>103437</xdr:rowOff>
    </xdr:to>
    <xdr:sp macro="" textlink="">
      <xdr:nvSpPr>
        <xdr:cNvPr id="121" name="AutoShape 3641">
          <a:extLst>
            <a:ext uri="{FF2B5EF4-FFF2-40B4-BE49-F238E27FC236}">
              <a16:creationId xmlns:a16="http://schemas.microsoft.com/office/drawing/2014/main" id="{00000000-0008-0000-0500-000079000000}"/>
            </a:ext>
          </a:extLst>
        </xdr:cNvPr>
        <xdr:cNvSpPr>
          <a:spLocks noChangeArrowheads="1"/>
        </xdr:cNvSpPr>
      </xdr:nvSpPr>
      <xdr:spPr bwMode="auto">
        <a:xfrm>
          <a:off x="5046435" y="30438574"/>
          <a:ext cx="1501971" cy="1151792"/>
        </a:xfrm>
        <a:prstGeom prst="wedgeRoundRectCallout">
          <a:avLst>
            <a:gd name="adj1" fmla="val 139761"/>
            <a:gd name="adj2" fmla="val -23175"/>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Tick / Cross box:</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 Pass for the overall design is indicated by a tick (on green fill) in this box. A Failure is shown by a cross (on red fill). </a:t>
          </a:r>
        </a:p>
      </xdr:txBody>
    </xdr:sp>
    <xdr:clientData/>
  </xdr:twoCellAnchor>
  <xdr:twoCellAnchor>
    <xdr:from>
      <xdr:col>7</xdr:col>
      <xdr:colOff>303892</xdr:colOff>
      <xdr:row>177</xdr:row>
      <xdr:rowOff>27214</xdr:rowOff>
    </xdr:from>
    <xdr:to>
      <xdr:col>8</xdr:col>
      <xdr:colOff>504402</xdr:colOff>
      <xdr:row>182</xdr:row>
      <xdr:rowOff>133651</xdr:rowOff>
    </xdr:to>
    <xdr:sp macro="" textlink="">
      <xdr:nvSpPr>
        <xdr:cNvPr id="122" name="Rounded Rectangle 121">
          <a:extLst>
            <a:ext uri="{FF2B5EF4-FFF2-40B4-BE49-F238E27FC236}">
              <a16:creationId xmlns:a16="http://schemas.microsoft.com/office/drawing/2014/main" id="{00000000-0008-0000-0500-00007A000000}"/>
            </a:ext>
          </a:extLst>
        </xdr:cNvPr>
        <xdr:cNvSpPr/>
      </xdr:nvSpPr>
      <xdr:spPr bwMode="auto">
        <a:xfrm>
          <a:off x="3787321" y="28411714"/>
          <a:ext cx="785617" cy="922866"/>
        </a:xfrm>
        <a:prstGeom prst="round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7</xdr:col>
      <xdr:colOff>263978</xdr:colOff>
      <xdr:row>182</xdr:row>
      <xdr:rowOff>103716</xdr:rowOff>
    </xdr:from>
    <xdr:to>
      <xdr:col>8</xdr:col>
      <xdr:colOff>517978</xdr:colOff>
      <xdr:row>184</xdr:row>
      <xdr:rowOff>8164</xdr:rowOff>
    </xdr:to>
    <xdr:sp macro="" textlink="">
      <xdr:nvSpPr>
        <xdr:cNvPr id="123" name="Rounded Rectangle 122">
          <a:extLst>
            <a:ext uri="{FF2B5EF4-FFF2-40B4-BE49-F238E27FC236}">
              <a16:creationId xmlns:a16="http://schemas.microsoft.com/office/drawing/2014/main" id="{00000000-0008-0000-0500-00007B000000}"/>
            </a:ext>
          </a:extLst>
        </xdr:cNvPr>
        <xdr:cNvSpPr/>
      </xdr:nvSpPr>
      <xdr:spPr bwMode="auto">
        <a:xfrm>
          <a:off x="3747407" y="29304645"/>
          <a:ext cx="839107" cy="231019"/>
        </a:xfrm>
        <a:prstGeom prst="roundRect">
          <a:avLst>
            <a:gd name="adj" fmla="val 42667"/>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7</xdr:col>
      <xdr:colOff>242813</xdr:colOff>
      <xdr:row>183</xdr:row>
      <xdr:rowOff>160261</xdr:rowOff>
    </xdr:from>
    <xdr:to>
      <xdr:col>9</xdr:col>
      <xdr:colOff>35379</xdr:colOff>
      <xdr:row>185</xdr:row>
      <xdr:rowOff>92528</xdr:rowOff>
    </xdr:to>
    <xdr:sp macro="" textlink="">
      <xdr:nvSpPr>
        <xdr:cNvPr id="124" name="Rounded Rectangle 123">
          <a:extLst>
            <a:ext uri="{FF2B5EF4-FFF2-40B4-BE49-F238E27FC236}">
              <a16:creationId xmlns:a16="http://schemas.microsoft.com/office/drawing/2014/main" id="{00000000-0008-0000-0500-00007C000000}"/>
            </a:ext>
          </a:extLst>
        </xdr:cNvPr>
        <xdr:cNvSpPr/>
      </xdr:nvSpPr>
      <xdr:spPr bwMode="auto">
        <a:xfrm>
          <a:off x="3726242" y="29524475"/>
          <a:ext cx="962780" cy="258839"/>
        </a:xfrm>
        <a:prstGeom prst="roundRect">
          <a:avLst>
            <a:gd name="adj" fmla="val 42667"/>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2</xdr:col>
      <xdr:colOff>423055</xdr:colOff>
      <xdr:row>1</xdr:row>
      <xdr:rowOff>118753</xdr:rowOff>
    </xdr:from>
    <xdr:to>
      <xdr:col>4</xdr:col>
      <xdr:colOff>92074</xdr:colOff>
      <xdr:row>1</xdr:row>
      <xdr:rowOff>363553</xdr:rowOff>
    </xdr:to>
    <xdr:sp macro="" textlink="">
      <xdr:nvSpPr>
        <xdr:cNvPr id="46" name="AutoShape 49" descr="help">
          <a:hlinkClick xmlns:r="http://schemas.openxmlformats.org/officeDocument/2006/relationships" r:id="rId5"/>
          <a:extLst>
            <a:ext uri="{FF2B5EF4-FFF2-40B4-BE49-F238E27FC236}">
              <a16:creationId xmlns:a16="http://schemas.microsoft.com/office/drawing/2014/main" id="{00000000-0008-0000-0500-00002E000000}"/>
            </a:ext>
          </a:extLst>
        </xdr:cNvPr>
        <xdr:cNvSpPr>
          <a:spLocks noChangeArrowheads="1"/>
        </xdr:cNvSpPr>
      </xdr:nvSpPr>
      <xdr:spPr bwMode="auto">
        <a:xfrm>
          <a:off x="983349" y="2236665"/>
          <a:ext cx="856843" cy="244800"/>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chemeClr val="tx1"/>
              </a:solidFill>
              <a:latin typeface="Arial"/>
              <a:cs typeface="Arial"/>
            </a:rPr>
            <a:t>Main Menu</a:t>
          </a:r>
        </a:p>
      </xdr:txBody>
    </xdr:sp>
    <xdr:clientData/>
  </xdr:twoCellAnchor>
  <xdr:twoCellAnchor>
    <xdr:from>
      <xdr:col>4</xdr:col>
      <xdr:colOff>398218</xdr:colOff>
      <xdr:row>1</xdr:row>
      <xdr:rowOff>118753</xdr:rowOff>
    </xdr:from>
    <xdr:to>
      <xdr:col>6</xdr:col>
      <xdr:colOff>70293</xdr:colOff>
      <xdr:row>1</xdr:row>
      <xdr:rowOff>363553</xdr:rowOff>
    </xdr:to>
    <xdr:sp macro="" textlink="">
      <xdr:nvSpPr>
        <xdr:cNvPr id="47" name="AutoShape 3894" descr="help">
          <a:hlinkClick xmlns:r="http://schemas.openxmlformats.org/officeDocument/2006/relationships" r:id="rId6"/>
          <a:extLst>
            <a:ext uri="{FF2B5EF4-FFF2-40B4-BE49-F238E27FC236}">
              <a16:creationId xmlns:a16="http://schemas.microsoft.com/office/drawing/2014/main" id="{00000000-0008-0000-0500-00002F000000}"/>
            </a:ext>
          </a:extLst>
        </xdr:cNvPr>
        <xdr:cNvSpPr>
          <a:spLocks noChangeArrowheads="1"/>
        </xdr:cNvSpPr>
      </xdr:nvSpPr>
      <xdr:spPr bwMode="auto">
        <a:xfrm>
          <a:off x="2146336" y="2236665"/>
          <a:ext cx="859898" cy="244800"/>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ysClr val="windowText" lastClr="000000"/>
              </a:solidFill>
              <a:latin typeface="Arial"/>
              <a:cs typeface="Arial"/>
            </a:rPr>
            <a:t>Help</a:t>
          </a:r>
        </a:p>
      </xdr:txBody>
    </xdr:sp>
    <xdr:clientData/>
  </xdr:twoCellAnchor>
  <xdr:twoCellAnchor editAs="oneCell">
    <xdr:from>
      <xdr:col>0</xdr:col>
      <xdr:colOff>1</xdr:colOff>
      <xdr:row>0</xdr:row>
      <xdr:rowOff>0</xdr:rowOff>
    </xdr:from>
    <xdr:to>
      <xdr:col>23</xdr:col>
      <xdr:colOff>1</xdr:colOff>
      <xdr:row>1</xdr:row>
      <xdr:rowOff>0</xdr:rowOff>
    </xdr:to>
    <xdr:pic>
      <xdr:nvPicPr>
        <xdr:cNvPr id="48" name="Picture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 y="0"/>
          <a:ext cx="12936682" cy="2112818"/>
        </a:xfrm>
        <a:prstGeom prst="rect">
          <a:avLst/>
        </a:prstGeom>
      </xdr:spPr>
    </xdr:pic>
    <xdr:clientData/>
  </xdr:twoCellAnchor>
  <xdr:oneCellAnchor>
    <xdr:from>
      <xdr:col>2</xdr:col>
      <xdr:colOff>368967</xdr:colOff>
      <xdr:row>0</xdr:row>
      <xdr:rowOff>275231</xdr:rowOff>
    </xdr:from>
    <xdr:ext cx="722807" cy="1017003"/>
    <xdr:pic>
      <xdr:nvPicPr>
        <xdr:cNvPr id="49" name="Pictur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40467" y="275231"/>
          <a:ext cx="722807" cy="1017003"/>
        </a:xfrm>
        <a:prstGeom prst="rect">
          <a:avLst/>
        </a:prstGeom>
      </xdr:spPr>
    </xdr:pic>
    <xdr:clientData/>
  </xdr:oneCellAnchor>
  <xdr:twoCellAnchor>
    <xdr:from>
      <xdr:col>5</xdr:col>
      <xdr:colOff>130526</xdr:colOff>
      <xdr:row>0</xdr:row>
      <xdr:rowOff>641720</xdr:rowOff>
    </xdr:from>
    <xdr:to>
      <xdr:col>19</xdr:col>
      <xdr:colOff>109382</xdr:colOff>
      <xdr:row>0</xdr:row>
      <xdr:rowOff>1506682</xdr:rowOff>
    </xdr:to>
    <xdr:sp macro="" textlink="">
      <xdr:nvSpPr>
        <xdr:cNvPr id="50" name="TextBox 49">
          <a:extLst>
            <a:ext uri="{FF2B5EF4-FFF2-40B4-BE49-F238E27FC236}">
              <a16:creationId xmlns:a16="http://schemas.microsoft.com/office/drawing/2014/main" id="{00000000-0008-0000-0500-000032000000}"/>
            </a:ext>
          </a:extLst>
        </xdr:cNvPr>
        <xdr:cNvSpPr txBox="1"/>
      </xdr:nvSpPr>
      <xdr:spPr>
        <a:xfrm>
          <a:off x="2468481" y="641720"/>
          <a:ext cx="8222310" cy="864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2400">
              <a:solidFill>
                <a:schemeClr val="bg1"/>
              </a:solidFill>
              <a:latin typeface="Arial" panose="020B0604020202020204" pitchFamily="34" charset="0"/>
              <a:cs typeface="Arial" panose="020B0604020202020204" pitchFamily="34" charset="0"/>
            </a:rPr>
            <a:t>Lighting</a:t>
          </a:r>
          <a:endParaRPr lang="en-US" sz="2400" baseline="0">
            <a:solidFill>
              <a:schemeClr val="bg1"/>
            </a:solidFill>
            <a:latin typeface="Arial" panose="020B0604020202020204" pitchFamily="34" charset="0"/>
            <a:cs typeface="Arial" panose="020B0604020202020204" pitchFamily="34" charset="0"/>
          </a:endParaRPr>
        </a:p>
        <a:p>
          <a:pPr algn="ctr">
            <a:lnSpc>
              <a:spcPct val="75000"/>
            </a:lnSpc>
          </a:pPr>
          <a:br>
            <a:rPr lang="en-US" sz="1400" baseline="0">
              <a:solidFill>
                <a:schemeClr val="bg1"/>
              </a:solidFill>
              <a:latin typeface="Arial" panose="020B0604020202020204" pitchFamily="34" charset="0"/>
              <a:cs typeface="Arial" panose="020B0604020202020204" pitchFamily="34" charset="0"/>
            </a:rPr>
          </a:br>
          <a:r>
            <a:rPr lang="en-US" sz="1400" baseline="0">
              <a:solidFill>
                <a:schemeClr val="bg1"/>
              </a:solidFill>
              <a:latin typeface="Arial" panose="020B0604020202020204" pitchFamily="34" charset="0"/>
              <a:cs typeface="Arial" panose="020B0604020202020204" pitchFamily="34" charset="0"/>
            </a:rPr>
            <a:t>Screenshots</a:t>
          </a:r>
          <a:endParaRPr lang="en-US" sz="2400">
            <a:solidFill>
              <a:schemeClr val="bg1"/>
            </a:solidFill>
            <a:latin typeface="Arial" panose="020B0604020202020204" pitchFamily="34" charset="0"/>
            <a:cs typeface="Arial" panose="020B0604020202020204" pitchFamily="34" charset="0"/>
          </a:endParaRPr>
        </a:p>
      </xdr:txBody>
    </xdr:sp>
    <xdr:clientData/>
  </xdr:twoCellAnchor>
  <xdr:oneCellAnchor>
    <xdr:from>
      <xdr:col>18</xdr:col>
      <xdr:colOff>455714</xdr:colOff>
      <xdr:row>0</xdr:row>
      <xdr:rowOff>280556</xdr:rowOff>
    </xdr:from>
    <xdr:ext cx="1714500" cy="624086"/>
    <xdr:pic>
      <xdr:nvPicPr>
        <xdr:cNvPr id="52" name="Picture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48305" y="280556"/>
          <a:ext cx="1714500" cy="624086"/>
        </a:xfrm>
        <a:prstGeom prst="rect">
          <a:avLst/>
        </a:prstGeom>
      </xdr:spPr>
    </xdr:pic>
    <xdr:clientData/>
  </xdr:oneCellAnchor>
  <xdr:twoCellAnchor editAs="oneCell">
    <xdr:from>
      <xdr:col>20</xdr:col>
      <xdr:colOff>390298</xdr:colOff>
      <xdr:row>0</xdr:row>
      <xdr:rowOff>1195902</xdr:rowOff>
    </xdr:from>
    <xdr:to>
      <xdr:col>21</xdr:col>
      <xdr:colOff>373339</xdr:colOff>
      <xdr:row>0</xdr:row>
      <xdr:rowOff>1780607</xdr:rowOff>
    </xdr:to>
    <xdr:pic>
      <xdr:nvPicPr>
        <xdr:cNvPr id="53" name="Picture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560525" y="1195902"/>
          <a:ext cx="567097" cy="579943"/>
        </a:xfrm>
        <a:prstGeom prst="rect">
          <a:avLst/>
        </a:prstGeom>
      </xdr:spPr>
    </xdr:pic>
    <xdr:clientData/>
  </xdr:twoCellAnchor>
  <xdr:twoCellAnchor>
    <xdr:from>
      <xdr:col>2</xdr:col>
      <xdr:colOff>19301</xdr:colOff>
      <xdr:row>58</xdr:row>
      <xdr:rowOff>112936</xdr:rowOff>
    </xdr:from>
    <xdr:to>
      <xdr:col>20</xdr:col>
      <xdr:colOff>218488</xdr:colOff>
      <xdr:row>94</xdr:row>
      <xdr:rowOff>59191</xdr:rowOff>
    </xdr:to>
    <xdr:grpSp>
      <xdr:nvGrpSpPr>
        <xdr:cNvPr id="13" name="Group 12">
          <a:extLst>
            <a:ext uri="{FF2B5EF4-FFF2-40B4-BE49-F238E27FC236}">
              <a16:creationId xmlns:a16="http://schemas.microsoft.com/office/drawing/2014/main" id="{17D86538-ADB8-4844-9018-5029AAC7BB01}"/>
            </a:ext>
          </a:extLst>
        </xdr:cNvPr>
        <xdr:cNvGrpSpPr/>
      </xdr:nvGrpSpPr>
      <xdr:grpSpPr>
        <a:xfrm>
          <a:off x="624419" y="10119789"/>
          <a:ext cx="11696422" cy="5594020"/>
          <a:chOff x="624419" y="10119789"/>
          <a:chExt cx="11696422" cy="5594020"/>
        </a:xfrm>
      </xdr:grpSpPr>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24837" y="10119789"/>
            <a:ext cx="11696004" cy="5417939"/>
          </a:xfrm>
          <a:prstGeom prst="rect">
            <a:avLst/>
          </a:prstGeom>
        </xdr:spPr>
      </xdr:pic>
      <xdr:sp macro="" textlink="">
        <xdr:nvSpPr>
          <xdr:cNvPr id="97" name="AutoShape 3641">
            <a:extLst>
              <a:ext uri="{FF2B5EF4-FFF2-40B4-BE49-F238E27FC236}">
                <a16:creationId xmlns:a16="http://schemas.microsoft.com/office/drawing/2014/main" id="{00000000-0008-0000-0500-000061000000}"/>
              </a:ext>
            </a:extLst>
          </xdr:cNvPr>
          <xdr:cNvSpPr>
            <a:spLocks noChangeArrowheads="1"/>
          </xdr:cNvSpPr>
        </xdr:nvSpPr>
        <xdr:spPr bwMode="auto">
          <a:xfrm>
            <a:off x="3968656" y="11734675"/>
            <a:ext cx="1566134" cy="694072"/>
          </a:xfrm>
          <a:prstGeom prst="wedgeRoundRectCallout">
            <a:avLst>
              <a:gd name="adj1" fmla="val 38905"/>
              <a:gd name="adj2" fmla="val 7686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Navigation button: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Links to a detailed list of Adjustment Factors.</a:t>
            </a:r>
          </a:p>
        </xdr:txBody>
      </xdr:sp>
      <xdr:sp macro="" textlink="">
        <xdr:nvSpPr>
          <xdr:cNvPr id="99" name="AutoShape 3641">
            <a:extLst>
              <a:ext uri="{FF2B5EF4-FFF2-40B4-BE49-F238E27FC236}">
                <a16:creationId xmlns:a16="http://schemas.microsoft.com/office/drawing/2014/main" id="{00000000-0008-0000-0500-000063000000}"/>
              </a:ext>
            </a:extLst>
          </xdr:cNvPr>
          <xdr:cNvSpPr>
            <a:spLocks noChangeArrowheads="1"/>
          </xdr:cNvSpPr>
        </xdr:nvSpPr>
        <xdr:spPr bwMode="auto">
          <a:xfrm>
            <a:off x="2815540" y="12785961"/>
            <a:ext cx="1566117" cy="786975"/>
          </a:xfrm>
          <a:prstGeom prst="wedgeRoundRectCallout">
            <a:avLst>
              <a:gd name="adj1" fmla="val -64052"/>
              <a:gd name="adj2" fmla="val 1968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"Space" menu:</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Spaces are listed in the drop down menu.</a:t>
            </a:r>
          </a:p>
        </xdr:txBody>
      </xdr:sp>
      <xdr:sp macro="" textlink="">
        <xdr:nvSpPr>
          <xdr:cNvPr id="100" name="AutoShape 3641">
            <a:extLst>
              <a:ext uri="{FF2B5EF4-FFF2-40B4-BE49-F238E27FC236}">
                <a16:creationId xmlns:a16="http://schemas.microsoft.com/office/drawing/2014/main" id="{00000000-0008-0000-0500-000064000000}"/>
              </a:ext>
            </a:extLst>
          </xdr:cNvPr>
          <xdr:cNvSpPr>
            <a:spLocks noChangeArrowheads="1"/>
          </xdr:cNvSpPr>
        </xdr:nvSpPr>
        <xdr:spPr bwMode="auto">
          <a:xfrm>
            <a:off x="3246842" y="14151940"/>
            <a:ext cx="1570878" cy="962482"/>
          </a:xfrm>
          <a:prstGeom prst="wedgeRoundRectCallout">
            <a:avLst>
              <a:gd name="adj1" fmla="val 60421"/>
              <a:gd name="adj2" fmla="val -4135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"Adjustment Factors" menu:</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Items listed in the drop down menu relate to those in 3.12.5.5.</a:t>
            </a:r>
          </a:p>
        </xdr:txBody>
      </xdr:sp>
      <xdr:sp macro="" textlink="">
        <xdr:nvSpPr>
          <xdr:cNvPr id="101" name="AutoShape 3641">
            <a:extLst>
              <a:ext uri="{FF2B5EF4-FFF2-40B4-BE49-F238E27FC236}">
                <a16:creationId xmlns:a16="http://schemas.microsoft.com/office/drawing/2014/main" id="{00000000-0008-0000-0500-000065000000}"/>
              </a:ext>
            </a:extLst>
          </xdr:cNvPr>
          <xdr:cNvSpPr>
            <a:spLocks noChangeArrowheads="1"/>
          </xdr:cNvSpPr>
        </xdr:nvSpPr>
        <xdr:spPr bwMode="auto">
          <a:xfrm>
            <a:off x="5266990" y="14689791"/>
            <a:ext cx="1561355" cy="1024018"/>
          </a:xfrm>
          <a:prstGeom prst="wedgeRoundRectCallout">
            <a:avLst>
              <a:gd name="adj1" fmla="val -106372"/>
              <a:gd name="adj2" fmla="val 30114"/>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User's worksheet:</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worksheet on this tab can be used for notes or supplementary calculations (if desired).</a:t>
            </a:r>
          </a:p>
        </xdr:txBody>
      </xdr:sp>
      <xdr:sp macro="" textlink="">
        <xdr:nvSpPr>
          <xdr:cNvPr id="102" name="AutoShape 3641">
            <a:extLst>
              <a:ext uri="{FF2B5EF4-FFF2-40B4-BE49-F238E27FC236}">
                <a16:creationId xmlns:a16="http://schemas.microsoft.com/office/drawing/2014/main" id="{00000000-0008-0000-0500-000066000000}"/>
              </a:ext>
            </a:extLst>
          </xdr:cNvPr>
          <xdr:cNvSpPr>
            <a:spLocks noChangeArrowheads="1"/>
          </xdr:cNvSpPr>
        </xdr:nvSpPr>
        <xdr:spPr bwMode="auto">
          <a:xfrm>
            <a:off x="9099177" y="12143690"/>
            <a:ext cx="1896495" cy="1439170"/>
          </a:xfrm>
          <a:prstGeom prst="wedgeRoundRectCallout">
            <a:avLst>
              <a:gd name="adj1" fmla="val -45778"/>
              <a:gd name="adj2" fmla="val 7356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Calculated Outcomes: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 displayed progressively as lighting systems are added to the table, provided details for each system are complete.</a:t>
            </a:r>
          </a:p>
          <a:p>
            <a:pPr algn="l" rtl="0">
              <a:defRPr sz="1000"/>
            </a:pPr>
            <a:r>
              <a:rPr lang="en-AU" sz="1000" b="0" i="0" u="none" strike="noStrike" baseline="0">
                <a:solidFill>
                  <a:srgbClr val="000000"/>
                </a:solidFill>
                <a:latin typeface="Arial"/>
                <a:cs typeface="Arial"/>
              </a:rPr>
              <a:t>Results may change as more systems are added.</a:t>
            </a:r>
          </a:p>
        </xdr:txBody>
      </xdr:sp>
      <xdr:sp macro="" textlink="">
        <xdr:nvSpPr>
          <xdr:cNvPr id="103" name="AutoShape 3641">
            <a:extLst>
              <a:ext uri="{FF2B5EF4-FFF2-40B4-BE49-F238E27FC236}">
                <a16:creationId xmlns:a16="http://schemas.microsoft.com/office/drawing/2014/main" id="{00000000-0008-0000-0500-000067000000}"/>
              </a:ext>
            </a:extLst>
          </xdr:cNvPr>
          <xdr:cNvSpPr>
            <a:spLocks noChangeArrowheads="1"/>
          </xdr:cNvSpPr>
        </xdr:nvSpPr>
        <xdr:spPr bwMode="auto">
          <a:xfrm>
            <a:off x="7888533" y="11279149"/>
            <a:ext cx="1533741" cy="814712"/>
          </a:xfrm>
          <a:prstGeom prst="wedgeRoundRectCallout">
            <a:avLst>
              <a:gd name="adj1" fmla="val -70605"/>
              <a:gd name="adj2" fmla="val -13834"/>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Classification menu:</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Use the drop down menu to select the building Classification. </a:t>
            </a:r>
          </a:p>
        </xdr:txBody>
      </xdr:sp>
      <xdr:pic>
        <xdr:nvPicPr>
          <xdr:cNvPr id="12" name="Picture 11">
            <a:extLst>
              <a:ext uri="{FF2B5EF4-FFF2-40B4-BE49-F238E27FC236}">
                <a16:creationId xmlns:a16="http://schemas.microsoft.com/office/drawing/2014/main" id="{E030193B-BB69-4104-B96C-DAD52F99D640}"/>
              </a:ext>
            </a:extLst>
          </xdr:cNvPr>
          <xdr:cNvPicPr>
            <a:picLocks noChangeAspect="1"/>
          </xdr:cNvPicPr>
        </xdr:nvPicPr>
        <xdr:blipFill>
          <a:blip xmlns:r="http://schemas.openxmlformats.org/officeDocument/2006/relationships" r:embed="rId4"/>
          <a:stretch>
            <a:fillRect/>
          </a:stretch>
        </xdr:blipFill>
        <xdr:spPr>
          <a:xfrm>
            <a:off x="624419" y="10121654"/>
            <a:ext cx="8701718" cy="1002055"/>
          </a:xfrm>
          <a:prstGeom prst="rect">
            <a:avLst/>
          </a:prstGeom>
        </xdr:spPr>
      </xdr:pic>
    </xdr:grpSp>
    <xdr:clientData/>
  </xdr:twoCellAnchor>
  <xdr:twoCellAnchor>
    <xdr:from>
      <xdr:col>2</xdr:col>
      <xdr:colOff>27173</xdr:colOff>
      <xdr:row>107</xdr:row>
      <xdr:rowOff>122718</xdr:rowOff>
    </xdr:from>
    <xdr:to>
      <xdr:col>20</xdr:col>
      <xdr:colOff>239990</xdr:colOff>
      <xdr:row>140</xdr:row>
      <xdr:rowOff>114500</xdr:rowOff>
    </xdr:to>
    <xdr:grpSp>
      <xdr:nvGrpSpPr>
        <xdr:cNvPr id="15" name="Group 14">
          <a:extLst>
            <a:ext uri="{FF2B5EF4-FFF2-40B4-BE49-F238E27FC236}">
              <a16:creationId xmlns:a16="http://schemas.microsoft.com/office/drawing/2014/main" id="{AB8490CB-F615-45C1-AB89-B3D139045518}"/>
            </a:ext>
          </a:extLst>
        </xdr:cNvPr>
        <xdr:cNvGrpSpPr/>
      </xdr:nvGrpSpPr>
      <xdr:grpSpPr>
        <a:xfrm>
          <a:off x="632291" y="17480630"/>
          <a:ext cx="11710052" cy="5168899"/>
          <a:chOff x="632291" y="17480630"/>
          <a:chExt cx="11710052" cy="5168899"/>
        </a:xfrm>
      </xdr:grpSpPr>
      <xdr:sp macro="" textlink="">
        <xdr:nvSpPr>
          <xdr:cNvPr id="105" name="AutoShape 3641">
            <a:extLst>
              <a:ext uri="{FF2B5EF4-FFF2-40B4-BE49-F238E27FC236}">
                <a16:creationId xmlns:a16="http://schemas.microsoft.com/office/drawing/2014/main" id="{00000000-0008-0000-0500-000069000000}"/>
              </a:ext>
            </a:extLst>
          </xdr:cNvPr>
          <xdr:cNvSpPr>
            <a:spLocks noChangeArrowheads="1"/>
          </xdr:cNvSpPr>
        </xdr:nvSpPr>
        <xdr:spPr bwMode="auto">
          <a:xfrm>
            <a:off x="10223643" y="21120420"/>
            <a:ext cx="2118700" cy="1079628"/>
          </a:xfrm>
          <a:prstGeom prst="wedgeRoundRectCallout">
            <a:avLst>
              <a:gd name="adj1" fmla="val -92023"/>
              <a:gd name="adj2" fmla="val -25616"/>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Missing data:</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Missing inputs for columns to the left of the Adjustment Factor columns are not colour filled but are identified in the input alert by column name.</a:t>
            </a:r>
          </a:p>
        </xdr:txBody>
      </xdr:sp>
      <xdr:sp macro="" textlink="">
        <xdr:nvSpPr>
          <xdr:cNvPr id="106" name="Rounded Rectangle 105">
            <a:extLst>
              <a:ext uri="{FF2B5EF4-FFF2-40B4-BE49-F238E27FC236}">
                <a16:creationId xmlns:a16="http://schemas.microsoft.com/office/drawing/2014/main" id="{00000000-0008-0000-0500-00006A000000}"/>
              </a:ext>
            </a:extLst>
          </xdr:cNvPr>
          <xdr:cNvSpPr/>
        </xdr:nvSpPr>
        <xdr:spPr bwMode="auto">
          <a:xfrm>
            <a:off x="1635966" y="21301061"/>
            <a:ext cx="780930" cy="163233"/>
          </a:xfrm>
          <a:prstGeom prst="roundRect">
            <a:avLst>
              <a:gd name="adj" fmla="val 50000"/>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xnSp macro="">
        <xdr:nvCxnSpPr>
          <xdr:cNvPr id="107" name="Straight Arrow Connector 106">
            <a:extLst>
              <a:ext uri="{FF2B5EF4-FFF2-40B4-BE49-F238E27FC236}">
                <a16:creationId xmlns:a16="http://schemas.microsoft.com/office/drawing/2014/main" id="{00000000-0008-0000-0500-00006B000000}"/>
              </a:ext>
            </a:extLst>
          </xdr:cNvPr>
          <xdr:cNvCxnSpPr>
            <a:stCxn id="106" idx="3"/>
            <a:endCxn id="108" idx="1"/>
          </xdr:cNvCxnSpPr>
        </xdr:nvCxnSpPr>
        <xdr:spPr bwMode="auto">
          <a:xfrm flipV="1">
            <a:off x="2416896" y="21366073"/>
            <a:ext cx="5033910" cy="19806"/>
          </a:xfrm>
          <a:prstGeom prst="straightConnector1">
            <a:avLst/>
          </a:prstGeom>
          <a:noFill/>
          <a:ln w="19050" cap="flat" cmpd="sng" algn="ctr">
            <a:solidFill>
              <a:srgbClr val="FF0000"/>
            </a:solidFill>
            <a:prstDash val="solid"/>
            <a:round/>
            <a:headEnd type="triangle"/>
            <a:tailEnd type="triangle"/>
          </a:ln>
          <a:effectLst/>
        </xdr:spPr>
      </xdr:cxnSp>
      <xdr:sp macro="" textlink="">
        <xdr:nvSpPr>
          <xdr:cNvPr id="108" name="Rounded Rectangle 107">
            <a:extLst>
              <a:ext uri="{FF2B5EF4-FFF2-40B4-BE49-F238E27FC236}">
                <a16:creationId xmlns:a16="http://schemas.microsoft.com/office/drawing/2014/main" id="{00000000-0008-0000-0500-00006C000000}"/>
              </a:ext>
            </a:extLst>
          </xdr:cNvPr>
          <xdr:cNvSpPr/>
        </xdr:nvSpPr>
        <xdr:spPr bwMode="auto">
          <a:xfrm>
            <a:off x="7450806" y="21264904"/>
            <a:ext cx="1762330" cy="192814"/>
          </a:xfrm>
          <a:prstGeom prst="roundRect">
            <a:avLst>
              <a:gd name="adj" fmla="val 50000"/>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sp macro="" textlink="">
        <xdr:nvSpPr>
          <xdr:cNvPr id="109" name="AutoShape 3641">
            <a:extLst>
              <a:ext uri="{FF2B5EF4-FFF2-40B4-BE49-F238E27FC236}">
                <a16:creationId xmlns:a16="http://schemas.microsoft.com/office/drawing/2014/main" id="{00000000-0008-0000-0500-00006D000000}"/>
              </a:ext>
            </a:extLst>
          </xdr:cNvPr>
          <xdr:cNvSpPr>
            <a:spLocks noChangeArrowheads="1"/>
          </xdr:cNvSpPr>
        </xdr:nvSpPr>
        <xdr:spPr bwMode="auto">
          <a:xfrm>
            <a:off x="5801707" y="21670766"/>
            <a:ext cx="1573615" cy="978763"/>
          </a:xfrm>
          <a:prstGeom prst="wedgeRoundRectCallout">
            <a:avLst>
              <a:gd name="adj1" fmla="val 104217"/>
              <a:gd name="adj2" fmla="val 3119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Outcomes reporting: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 not displayed when input issues have been identified.</a:t>
            </a:r>
          </a:p>
        </xdr:txBody>
      </xdr:sp>
      <xdr:sp macro="" textlink="">
        <xdr:nvSpPr>
          <xdr:cNvPr id="110" name="AutoShape 3641">
            <a:extLst>
              <a:ext uri="{FF2B5EF4-FFF2-40B4-BE49-F238E27FC236}">
                <a16:creationId xmlns:a16="http://schemas.microsoft.com/office/drawing/2014/main" id="{00000000-0008-0000-0500-00006E000000}"/>
              </a:ext>
            </a:extLst>
          </xdr:cNvPr>
          <xdr:cNvSpPr>
            <a:spLocks noChangeArrowheads="1"/>
          </xdr:cNvSpPr>
        </xdr:nvSpPr>
        <xdr:spPr bwMode="auto">
          <a:xfrm>
            <a:off x="9462638" y="19770035"/>
            <a:ext cx="1772514" cy="1045459"/>
          </a:xfrm>
          <a:prstGeom prst="wedgeRoundRectCallout">
            <a:avLst>
              <a:gd name="adj1" fmla="val -66240"/>
              <a:gd name="adj2" fmla="val 256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Input Alerts: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Input alerts about missing data may appear in the Outcomes area of the lighting systems table.</a:t>
            </a:r>
          </a:p>
        </xdr:txBody>
      </xdr:sp>
      <xdr:sp macro="" textlink="">
        <xdr:nvSpPr>
          <xdr:cNvPr id="111" name="AutoShape 3641">
            <a:extLst>
              <a:ext uri="{FF2B5EF4-FFF2-40B4-BE49-F238E27FC236}">
                <a16:creationId xmlns:a16="http://schemas.microsoft.com/office/drawing/2014/main" id="{00000000-0008-0000-0500-00006F000000}"/>
              </a:ext>
            </a:extLst>
          </xdr:cNvPr>
          <xdr:cNvSpPr>
            <a:spLocks noChangeArrowheads="1"/>
          </xdr:cNvSpPr>
        </xdr:nvSpPr>
        <xdr:spPr bwMode="auto">
          <a:xfrm>
            <a:off x="5114969" y="18552169"/>
            <a:ext cx="1707092" cy="1107647"/>
          </a:xfrm>
          <a:prstGeom prst="wedgeRoundRectCallout">
            <a:avLst>
              <a:gd name="adj1" fmla="val 8279"/>
              <a:gd name="adj2" fmla="val 10507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Data highlighting: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without an expected related value is shown in red bold italics font. (In this case, the related Factor is missing.)</a:t>
            </a:r>
          </a:p>
        </xdr:txBody>
      </xdr:sp>
      <xdr:sp macro="" textlink="">
        <xdr:nvSpPr>
          <xdr:cNvPr id="112" name="AutoShape 3641">
            <a:extLst>
              <a:ext uri="{FF2B5EF4-FFF2-40B4-BE49-F238E27FC236}">
                <a16:creationId xmlns:a16="http://schemas.microsoft.com/office/drawing/2014/main" id="{00000000-0008-0000-0500-000070000000}"/>
              </a:ext>
            </a:extLst>
          </xdr:cNvPr>
          <xdr:cNvSpPr>
            <a:spLocks noChangeArrowheads="1"/>
          </xdr:cNvSpPr>
        </xdr:nvSpPr>
        <xdr:spPr bwMode="auto">
          <a:xfrm>
            <a:off x="2947681" y="20074502"/>
            <a:ext cx="1783851" cy="1043810"/>
          </a:xfrm>
          <a:prstGeom prst="wedgeRoundRectCallout">
            <a:avLst>
              <a:gd name="adj1" fmla="val 169549"/>
              <a:gd name="adj2" fmla="val 3457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Missing data highlight:</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Colour fill highlights missing Adjustment Factor data mentioned in input alerts to the right.</a:t>
            </a:r>
          </a:p>
        </xdr:txBody>
      </xdr:sp>
      <xdr:sp macro="" textlink="">
        <xdr:nvSpPr>
          <xdr:cNvPr id="113" name="AutoShape 3641">
            <a:extLst>
              <a:ext uri="{FF2B5EF4-FFF2-40B4-BE49-F238E27FC236}">
                <a16:creationId xmlns:a16="http://schemas.microsoft.com/office/drawing/2014/main" id="{00000000-0008-0000-0500-000071000000}"/>
              </a:ext>
            </a:extLst>
          </xdr:cNvPr>
          <xdr:cNvSpPr>
            <a:spLocks noChangeArrowheads="1"/>
          </xdr:cNvSpPr>
        </xdr:nvSpPr>
        <xdr:spPr bwMode="auto">
          <a:xfrm>
            <a:off x="9603277" y="18258741"/>
            <a:ext cx="1575323" cy="990772"/>
          </a:xfrm>
          <a:prstGeom prst="wedgeRoundRectCallout">
            <a:avLst>
              <a:gd name="adj1" fmla="val -67689"/>
              <a:gd name="adj2" fmla="val 3557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Advisory Notes: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Advisory notes may appear above the table in response to some lighting systems inputs.</a:t>
            </a:r>
          </a:p>
        </xdr:txBody>
      </xdr:sp>
      <xdr:pic>
        <xdr:nvPicPr>
          <xdr:cNvPr id="14" name="Picture 13">
            <a:extLst>
              <a:ext uri="{FF2B5EF4-FFF2-40B4-BE49-F238E27FC236}">
                <a16:creationId xmlns:a16="http://schemas.microsoft.com/office/drawing/2014/main" id="{6A1E4EC9-5A8A-4679-A6FF-18790FD2CFBF}"/>
              </a:ext>
            </a:extLst>
          </xdr:cNvPr>
          <xdr:cNvPicPr>
            <a:picLocks noChangeAspect="1"/>
          </xdr:cNvPicPr>
        </xdr:nvPicPr>
        <xdr:blipFill>
          <a:blip xmlns:r="http://schemas.openxmlformats.org/officeDocument/2006/relationships" r:embed="rId4"/>
          <a:stretch>
            <a:fillRect/>
          </a:stretch>
        </xdr:blipFill>
        <xdr:spPr>
          <a:xfrm>
            <a:off x="632291" y="17480630"/>
            <a:ext cx="8800267" cy="105932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protected.ind\user\Users\rocio_larroque\Downloads\Vol1_M2-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o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5.png"/></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19"/>
  <sheetViews>
    <sheetView showGridLines="0" showRowColHeaders="0" zoomScale="70" zoomScaleNormal="70" workbookViewId="0">
      <selection activeCell="X6" sqref="X6"/>
    </sheetView>
  </sheetViews>
  <sheetFormatPr defaultColWidth="8.86328125" defaultRowHeight="12.75" x14ac:dyDescent="0.35"/>
  <cols>
    <col min="2" max="2" width="11.3984375" customWidth="1"/>
    <col min="8" max="8" width="15.3984375" customWidth="1"/>
    <col min="15" max="15" width="12.3984375" customWidth="1"/>
  </cols>
  <sheetData>
    <row r="1" spans="1:21" ht="167.1" customHeight="1" x14ac:dyDescent="0.35">
      <c r="A1" s="2"/>
      <c r="B1" s="2"/>
      <c r="C1" s="2"/>
      <c r="D1" s="2"/>
      <c r="E1" s="2"/>
      <c r="F1" s="2"/>
      <c r="G1" s="2"/>
      <c r="H1" s="2"/>
      <c r="I1" s="2"/>
      <c r="J1" s="2"/>
      <c r="K1" s="2"/>
      <c r="L1" s="81"/>
      <c r="M1" s="81"/>
      <c r="N1" s="81"/>
      <c r="O1" s="81"/>
      <c r="P1" s="81"/>
      <c r="Q1" s="81"/>
      <c r="R1" s="81"/>
      <c r="S1" s="81"/>
      <c r="T1" s="81"/>
      <c r="U1" s="81"/>
    </row>
    <row r="2" spans="1:21" ht="39.950000000000003" customHeight="1" x14ac:dyDescent="0.35">
      <c r="A2" s="304"/>
      <c r="B2" s="304"/>
      <c r="C2" s="304"/>
      <c r="D2" s="304"/>
      <c r="E2" s="304"/>
      <c r="F2" s="304"/>
      <c r="G2" s="304"/>
      <c r="H2" s="304"/>
      <c r="I2" s="304"/>
      <c r="J2" s="304"/>
      <c r="K2" s="304"/>
      <c r="L2" s="305"/>
      <c r="M2" s="305"/>
      <c r="N2" s="305"/>
      <c r="O2" s="305"/>
      <c r="P2" s="437" t="s">
        <v>361</v>
      </c>
      <c r="Q2" s="437"/>
      <c r="R2" s="437"/>
      <c r="S2" s="81"/>
      <c r="T2" s="81"/>
      <c r="U2" s="81"/>
    </row>
    <row r="3" spans="1:21" x14ac:dyDescent="0.35">
      <c r="A3" s="294"/>
      <c r="B3" s="294"/>
      <c r="C3" s="294"/>
      <c r="D3" s="294"/>
      <c r="E3" s="294"/>
      <c r="F3" s="294"/>
      <c r="G3" s="294"/>
      <c r="H3" s="294"/>
      <c r="I3" s="294"/>
      <c r="J3" s="294"/>
      <c r="K3" s="294"/>
      <c r="L3" s="290"/>
      <c r="M3" s="290"/>
      <c r="N3" s="284"/>
      <c r="O3" s="284"/>
      <c r="P3" s="284"/>
      <c r="Q3" s="284"/>
      <c r="R3" s="284"/>
      <c r="S3" s="81"/>
      <c r="T3" s="81"/>
      <c r="U3" s="81"/>
    </row>
    <row r="4" spans="1:21" x14ac:dyDescent="0.35">
      <c r="A4" s="294"/>
      <c r="B4" s="294"/>
      <c r="C4" s="294"/>
      <c r="D4" s="294"/>
      <c r="E4" s="294"/>
      <c r="F4" s="294"/>
      <c r="G4" s="294"/>
      <c r="H4" s="294"/>
      <c r="I4" s="294"/>
      <c r="J4" s="294"/>
      <c r="K4" s="294"/>
      <c r="L4" s="290"/>
      <c r="M4" s="284"/>
      <c r="N4" s="284"/>
      <c r="O4" s="284"/>
      <c r="P4" s="284"/>
      <c r="Q4" s="284"/>
      <c r="R4" s="284"/>
      <c r="S4" s="81"/>
      <c r="T4" s="81"/>
      <c r="U4" s="81"/>
    </row>
    <row r="5" spans="1:21" ht="17.25" x14ac:dyDescent="0.45">
      <c r="A5" s="294"/>
      <c r="B5" s="294"/>
      <c r="C5" s="294"/>
      <c r="D5" s="294"/>
      <c r="E5" s="294"/>
      <c r="F5" s="306"/>
      <c r="G5" s="294"/>
      <c r="H5" s="294"/>
      <c r="I5" s="294"/>
      <c r="J5" s="294"/>
      <c r="K5" s="294"/>
      <c r="L5" s="284"/>
      <c r="M5" s="284"/>
      <c r="N5" s="284"/>
      <c r="O5" s="284"/>
      <c r="P5" s="284"/>
      <c r="Q5" s="284"/>
      <c r="R5" s="284"/>
      <c r="S5" s="81"/>
      <c r="T5" s="81"/>
      <c r="U5" s="81"/>
    </row>
    <row r="6" spans="1:21" x14ac:dyDescent="0.35">
      <c r="A6" s="294"/>
      <c r="B6" s="294"/>
      <c r="C6" s="294"/>
      <c r="D6" s="294"/>
      <c r="E6" s="294"/>
      <c r="F6" s="294"/>
      <c r="G6" s="294"/>
      <c r="H6" s="294"/>
      <c r="I6" s="294"/>
      <c r="J6" s="294"/>
      <c r="K6" s="294"/>
      <c r="L6" s="284"/>
      <c r="M6" s="284"/>
      <c r="N6" s="284"/>
      <c r="O6" s="284"/>
      <c r="P6" s="284"/>
      <c r="Q6" s="284"/>
      <c r="R6" s="284"/>
      <c r="S6" s="81"/>
      <c r="T6" s="81"/>
      <c r="U6" s="81"/>
    </row>
    <row r="7" spans="1:21" x14ac:dyDescent="0.35">
      <c r="A7" s="294"/>
      <c r="B7" s="294"/>
      <c r="C7" s="294"/>
      <c r="D7" s="294"/>
      <c r="E7" s="294"/>
      <c r="F7" s="294"/>
      <c r="G7" s="294"/>
      <c r="H7" s="294"/>
      <c r="I7" s="294"/>
      <c r="J7" s="294"/>
      <c r="K7" s="294"/>
      <c r="L7" s="290"/>
      <c r="M7" s="284"/>
      <c r="N7" s="284"/>
      <c r="O7" s="284"/>
      <c r="P7" s="284"/>
      <c r="Q7" s="284"/>
      <c r="R7" s="284"/>
      <c r="S7" s="81"/>
      <c r="T7" s="81"/>
      <c r="U7" s="81"/>
    </row>
    <row r="8" spans="1:21" x14ac:dyDescent="0.35">
      <c r="A8" s="294"/>
      <c r="B8" s="294"/>
      <c r="C8" s="294"/>
      <c r="D8" s="294"/>
      <c r="E8" s="294"/>
      <c r="F8" s="294"/>
      <c r="G8" s="294"/>
      <c r="H8" s="294"/>
      <c r="I8" s="294"/>
      <c r="J8" s="294"/>
      <c r="K8" s="294"/>
      <c r="L8" s="290"/>
      <c r="M8" s="284"/>
      <c r="N8" s="284"/>
      <c r="O8" s="284"/>
      <c r="P8" s="284"/>
      <c r="Q8" s="284"/>
      <c r="R8" s="284"/>
      <c r="S8" s="81"/>
      <c r="T8" s="81"/>
      <c r="U8" s="81"/>
    </row>
    <row r="9" spans="1:21" x14ac:dyDescent="0.35">
      <c r="A9" s="294"/>
      <c r="B9" s="294"/>
      <c r="C9" s="294"/>
      <c r="D9" s="294"/>
      <c r="E9" s="294"/>
      <c r="F9" s="294"/>
      <c r="G9" s="294"/>
      <c r="H9" s="294"/>
      <c r="I9" s="294"/>
      <c r="J9" s="294"/>
      <c r="K9" s="294"/>
      <c r="L9" s="290"/>
      <c r="M9" s="284"/>
      <c r="N9" s="284"/>
      <c r="O9" s="284"/>
      <c r="P9" s="284"/>
      <c r="Q9" s="284"/>
      <c r="R9" s="284"/>
      <c r="S9" s="81"/>
      <c r="T9" s="81"/>
      <c r="U9" s="81"/>
    </row>
    <row r="10" spans="1:21" x14ac:dyDescent="0.35">
      <c r="A10" s="294"/>
      <c r="B10" s="294"/>
      <c r="C10" s="294"/>
      <c r="D10" s="294"/>
      <c r="E10" s="294"/>
      <c r="F10" s="294"/>
      <c r="G10" s="294"/>
      <c r="H10" s="294"/>
      <c r="I10" s="294"/>
      <c r="J10" s="294"/>
      <c r="K10" s="294"/>
      <c r="L10" s="290"/>
      <c r="M10" s="284"/>
      <c r="N10" s="284"/>
      <c r="O10" s="284"/>
      <c r="P10" s="284"/>
      <c r="Q10" s="284"/>
      <c r="R10" s="284"/>
      <c r="S10" s="81"/>
      <c r="T10" s="81"/>
      <c r="U10" s="81"/>
    </row>
    <row r="11" spans="1:21" x14ac:dyDescent="0.35">
      <c r="A11" s="294"/>
      <c r="B11" s="294"/>
      <c r="C11" s="294"/>
      <c r="D11" s="294"/>
      <c r="E11" s="294"/>
      <c r="F11" s="294"/>
      <c r="G11" s="294"/>
      <c r="H11" s="294"/>
      <c r="I11" s="294"/>
      <c r="J11" s="294"/>
      <c r="K11" s="294"/>
      <c r="L11" s="290"/>
      <c r="M11" s="284"/>
      <c r="N11" s="284"/>
      <c r="O11" s="284"/>
      <c r="P11" s="284"/>
      <c r="Q11" s="284"/>
      <c r="R11" s="284"/>
      <c r="S11" s="81"/>
      <c r="T11" s="81"/>
      <c r="U11" s="81"/>
    </row>
    <row r="12" spans="1:21" x14ac:dyDescent="0.35">
      <c r="A12" s="294"/>
      <c r="B12" s="294"/>
      <c r="C12" s="294"/>
      <c r="D12" s="294"/>
      <c r="E12" s="294"/>
      <c r="F12" s="294"/>
      <c r="G12" s="294"/>
      <c r="H12" s="294"/>
      <c r="I12" s="294"/>
      <c r="J12" s="294"/>
      <c r="K12" s="294"/>
      <c r="L12" s="290"/>
      <c r="M12" s="284"/>
      <c r="N12" s="284"/>
      <c r="O12" s="284"/>
      <c r="P12" s="284"/>
      <c r="Q12" s="284"/>
      <c r="R12" s="284"/>
      <c r="S12" s="81"/>
      <c r="T12" s="81"/>
      <c r="U12" s="81"/>
    </row>
    <row r="13" spans="1:21" x14ac:dyDescent="0.35">
      <c r="A13" s="294"/>
      <c r="B13" s="294"/>
      <c r="C13" s="294"/>
      <c r="D13" s="294"/>
      <c r="E13" s="294"/>
      <c r="F13" s="294"/>
      <c r="G13" s="294"/>
      <c r="H13" s="294"/>
      <c r="I13" s="294"/>
      <c r="J13" s="294"/>
      <c r="K13" s="294"/>
      <c r="L13" s="290"/>
      <c r="M13" s="284"/>
      <c r="N13" s="284"/>
      <c r="O13" s="284"/>
      <c r="P13" s="284"/>
      <c r="Q13" s="284"/>
      <c r="R13" s="284"/>
      <c r="S13" s="81"/>
      <c r="T13" s="81"/>
      <c r="U13" s="81"/>
    </row>
    <row r="14" spans="1:21" x14ac:dyDescent="0.35">
      <c r="A14" s="294"/>
      <c r="B14" s="294"/>
      <c r="C14" s="294"/>
      <c r="D14" s="294"/>
      <c r="E14" s="294"/>
      <c r="F14" s="294"/>
      <c r="G14" s="294"/>
      <c r="H14" s="294"/>
      <c r="I14" s="294"/>
      <c r="J14" s="294"/>
      <c r="K14" s="294"/>
      <c r="L14" s="290"/>
      <c r="M14" s="284"/>
      <c r="N14" s="284"/>
      <c r="O14" s="284"/>
      <c r="P14" s="284"/>
      <c r="Q14" s="284"/>
      <c r="R14" s="284"/>
      <c r="S14" s="81"/>
      <c r="T14" s="81"/>
      <c r="U14" s="81"/>
    </row>
    <row r="15" spans="1:21" x14ac:dyDescent="0.35">
      <c r="A15" s="294"/>
      <c r="B15" s="294"/>
      <c r="C15" s="294"/>
      <c r="D15" s="294"/>
      <c r="E15" s="294"/>
      <c r="F15" s="294"/>
      <c r="G15" s="294"/>
      <c r="H15" s="294"/>
      <c r="I15" s="294"/>
      <c r="J15" s="294"/>
      <c r="K15" s="294"/>
      <c r="L15" s="290"/>
      <c r="M15" s="284"/>
      <c r="N15" s="284"/>
      <c r="O15" s="284"/>
      <c r="P15" s="284"/>
      <c r="Q15" s="284"/>
      <c r="R15" s="284"/>
      <c r="S15" s="81"/>
      <c r="T15" s="81"/>
      <c r="U15" s="81"/>
    </row>
    <row r="16" spans="1:21" x14ac:dyDescent="0.35">
      <c r="A16" s="294"/>
      <c r="B16" s="294"/>
      <c r="C16" s="294"/>
      <c r="D16" s="294"/>
      <c r="E16" s="294"/>
      <c r="F16" s="294"/>
      <c r="G16" s="294"/>
      <c r="H16" s="294"/>
      <c r="I16" s="294"/>
      <c r="J16" s="294"/>
      <c r="K16" s="294"/>
      <c r="L16" s="290"/>
      <c r="M16" s="284"/>
      <c r="N16" s="284"/>
      <c r="O16" s="284"/>
      <c r="P16" s="284"/>
      <c r="Q16" s="284"/>
      <c r="R16" s="284"/>
      <c r="S16" s="81"/>
      <c r="T16" s="81"/>
      <c r="U16" s="81"/>
    </row>
    <row r="17" spans="1:21" ht="12" customHeight="1" x14ac:dyDescent="0.35">
      <c r="A17" s="294"/>
      <c r="B17" s="294"/>
      <c r="C17" s="294"/>
      <c r="D17" s="294"/>
      <c r="E17" s="294"/>
      <c r="F17" s="294"/>
      <c r="G17" s="294"/>
      <c r="H17" s="294"/>
      <c r="I17" s="294"/>
      <c r="J17" s="294"/>
      <c r="K17" s="294"/>
      <c r="L17" s="290"/>
      <c r="M17" s="290"/>
      <c r="N17" s="284"/>
      <c r="O17" s="284"/>
      <c r="P17" s="284"/>
      <c r="Q17" s="284"/>
      <c r="R17" s="284"/>
      <c r="S17" s="81"/>
      <c r="T17" s="81"/>
      <c r="U17" s="81"/>
    </row>
    <row r="18" spans="1:21" x14ac:dyDescent="0.35">
      <c r="A18" s="294"/>
      <c r="B18" s="294"/>
      <c r="C18" s="294"/>
      <c r="D18" s="294"/>
      <c r="E18" s="294"/>
      <c r="F18" s="294"/>
      <c r="G18" s="294"/>
      <c r="H18" s="294"/>
      <c r="I18" s="294"/>
      <c r="J18" s="294"/>
      <c r="K18" s="294"/>
      <c r="L18" s="290"/>
      <c r="M18" s="284"/>
      <c r="N18" s="284"/>
      <c r="O18" s="284"/>
      <c r="P18" s="284"/>
      <c r="Q18" s="284"/>
      <c r="R18" s="284"/>
      <c r="S18" s="81"/>
      <c r="T18" s="81"/>
      <c r="U18" s="81"/>
    </row>
    <row r="19" spans="1:21" x14ac:dyDescent="0.35">
      <c r="A19" s="294"/>
      <c r="B19" s="294"/>
      <c r="C19" s="294"/>
      <c r="D19" s="294"/>
      <c r="E19" s="294"/>
      <c r="F19" s="294"/>
      <c r="G19" s="294"/>
      <c r="H19" s="294"/>
      <c r="I19" s="294"/>
      <c r="J19" s="294"/>
      <c r="K19" s="294"/>
      <c r="L19" s="290"/>
      <c r="M19" s="284"/>
      <c r="N19" s="284"/>
      <c r="O19" s="284"/>
      <c r="P19" s="284"/>
      <c r="Q19" s="284"/>
      <c r="R19" s="284"/>
      <c r="S19" s="81"/>
      <c r="T19" s="81"/>
      <c r="U19" s="81"/>
    </row>
    <row r="20" spans="1:21" x14ac:dyDescent="0.35">
      <c r="A20" s="294"/>
      <c r="B20" s="294"/>
      <c r="C20" s="294"/>
      <c r="D20" s="294"/>
      <c r="E20" s="294"/>
      <c r="F20" s="294"/>
      <c r="G20" s="294"/>
      <c r="H20" s="294"/>
      <c r="I20" s="294"/>
      <c r="J20" s="294"/>
      <c r="K20" s="294"/>
      <c r="L20" s="290"/>
      <c r="M20" s="284"/>
      <c r="N20" s="284"/>
      <c r="O20" s="284"/>
      <c r="P20" s="284"/>
      <c r="Q20" s="284"/>
      <c r="R20" s="284"/>
      <c r="S20" s="81"/>
      <c r="T20" s="81"/>
      <c r="U20" s="81"/>
    </row>
    <row r="21" spans="1:21" x14ac:dyDescent="0.35">
      <c r="A21" s="294"/>
      <c r="B21" s="294"/>
      <c r="C21" s="294"/>
      <c r="D21" s="294"/>
      <c r="E21" s="294"/>
      <c r="F21" s="294"/>
      <c r="G21" s="294"/>
      <c r="H21" s="294"/>
      <c r="I21" s="294"/>
      <c r="J21" s="294"/>
      <c r="K21" s="294"/>
      <c r="L21" s="290"/>
      <c r="M21" s="284"/>
      <c r="N21" s="284"/>
      <c r="O21" s="284"/>
      <c r="P21" s="284"/>
      <c r="Q21" s="284"/>
      <c r="R21" s="284"/>
      <c r="S21" s="81"/>
      <c r="T21" s="81"/>
      <c r="U21" s="81"/>
    </row>
    <row r="22" spans="1:21" x14ac:dyDescent="0.35">
      <c r="A22" s="294"/>
      <c r="B22" s="294"/>
      <c r="C22" s="294"/>
      <c r="D22" s="294"/>
      <c r="E22" s="294"/>
      <c r="F22" s="294"/>
      <c r="G22" s="294"/>
      <c r="H22" s="294"/>
      <c r="I22" s="294"/>
      <c r="J22" s="294"/>
      <c r="K22" s="294"/>
      <c r="L22" s="290"/>
      <c r="M22" s="284"/>
      <c r="N22" s="284"/>
      <c r="O22" s="284"/>
      <c r="P22" s="284"/>
      <c r="Q22" s="284"/>
      <c r="R22" s="284"/>
      <c r="S22" s="81"/>
      <c r="T22" s="81"/>
      <c r="U22" s="81"/>
    </row>
    <row r="23" spans="1:21" x14ac:dyDescent="0.35">
      <c r="A23" s="294"/>
      <c r="B23" s="294"/>
      <c r="C23" s="294"/>
      <c r="D23" s="294"/>
      <c r="E23" s="294"/>
      <c r="F23" s="294"/>
      <c r="G23" s="294"/>
      <c r="H23" s="294"/>
      <c r="I23" s="294"/>
      <c r="J23" s="294"/>
      <c r="K23" s="294"/>
      <c r="L23" s="290"/>
      <c r="M23" s="284"/>
      <c r="N23" s="284"/>
      <c r="O23" s="284"/>
      <c r="P23" s="284"/>
      <c r="Q23" s="284"/>
      <c r="R23" s="284"/>
      <c r="S23" s="81"/>
      <c r="T23" s="81"/>
      <c r="U23" s="81"/>
    </row>
    <row r="24" spans="1:21" x14ac:dyDescent="0.35">
      <c r="A24" s="294"/>
      <c r="B24" s="294"/>
      <c r="C24" s="294"/>
      <c r="D24" s="294"/>
      <c r="E24" s="294"/>
      <c r="F24" s="294"/>
      <c r="G24" s="294"/>
      <c r="H24" s="294"/>
      <c r="I24" s="294"/>
      <c r="J24" s="294"/>
      <c r="K24" s="294"/>
      <c r="L24" s="290"/>
      <c r="M24" s="284"/>
      <c r="N24" s="284"/>
      <c r="O24" s="284"/>
      <c r="P24" s="284"/>
      <c r="Q24" s="284"/>
      <c r="R24" s="284"/>
      <c r="S24" s="81"/>
      <c r="T24" s="81"/>
      <c r="U24" s="81"/>
    </row>
    <row r="25" spans="1:21" x14ac:dyDescent="0.35">
      <c r="A25" s="294"/>
      <c r="B25" s="294"/>
      <c r="C25" s="294"/>
      <c r="D25" s="294"/>
      <c r="E25" s="294"/>
      <c r="F25" s="294"/>
      <c r="G25" s="294"/>
      <c r="H25" s="294"/>
      <c r="I25" s="294"/>
      <c r="J25" s="294"/>
      <c r="K25" s="294"/>
      <c r="L25" s="290"/>
      <c r="M25" s="284"/>
      <c r="N25" s="284"/>
      <c r="O25" s="284"/>
      <c r="P25" s="284"/>
      <c r="Q25" s="284"/>
      <c r="R25" s="284"/>
      <c r="S25" s="81"/>
      <c r="T25" s="81"/>
      <c r="U25" s="81"/>
    </row>
    <row r="26" spans="1:21" x14ac:dyDescent="0.35">
      <c r="A26" s="294"/>
      <c r="B26" s="294"/>
      <c r="C26" s="294"/>
      <c r="D26" s="294"/>
      <c r="E26" s="294"/>
      <c r="F26" s="294"/>
      <c r="G26" s="294"/>
      <c r="H26" s="294"/>
      <c r="I26" s="294"/>
      <c r="J26" s="294"/>
      <c r="K26" s="294"/>
      <c r="L26" s="290"/>
      <c r="M26" s="284"/>
      <c r="N26" s="284"/>
      <c r="O26" s="284"/>
      <c r="P26" s="284"/>
      <c r="Q26" s="284"/>
      <c r="R26" s="284"/>
      <c r="S26" s="81"/>
      <c r="T26" s="81"/>
      <c r="U26" s="81"/>
    </row>
    <row r="27" spans="1:21" x14ac:dyDescent="0.35">
      <c r="A27" s="294"/>
      <c r="B27" s="294"/>
      <c r="C27" s="294"/>
      <c r="D27" s="294"/>
      <c r="E27" s="294"/>
      <c r="F27" s="294"/>
      <c r="G27" s="294"/>
      <c r="H27" s="294"/>
      <c r="I27" s="294"/>
      <c r="J27" s="294"/>
      <c r="K27" s="294"/>
      <c r="L27" s="290"/>
      <c r="M27" s="284"/>
      <c r="N27" s="284"/>
      <c r="O27" s="284"/>
      <c r="P27" s="284"/>
      <c r="Q27" s="284"/>
      <c r="R27" s="284"/>
      <c r="S27" s="81"/>
      <c r="T27" s="81"/>
      <c r="U27" s="81"/>
    </row>
    <row r="28" spans="1:21" x14ac:dyDescent="0.35">
      <c r="A28" s="294"/>
      <c r="B28" s="294"/>
      <c r="C28" s="294"/>
      <c r="D28" s="294"/>
      <c r="E28" s="294"/>
      <c r="F28" s="294"/>
      <c r="G28" s="294"/>
      <c r="H28" s="294"/>
      <c r="I28" s="294"/>
      <c r="J28" s="294"/>
      <c r="K28" s="294"/>
      <c r="L28" s="290"/>
      <c r="M28" s="284"/>
      <c r="N28" s="284"/>
      <c r="O28" s="284"/>
      <c r="P28" s="284"/>
      <c r="Q28" s="284"/>
      <c r="R28" s="284"/>
      <c r="S28" s="81"/>
      <c r="T28" s="81"/>
      <c r="U28" s="81"/>
    </row>
    <row r="29" spans="1:21" x14ac:dyDescent="0.35">
      <c r="A29" s="294"/>
      <c r="B29" s="294"/>
      <c r="C29" s="294"/>
      <c r="D29" s="294"/>
      <c r="E29" s="294"/>
      <c r="F29" s="294"/>
      <c r="G29" s="294"/>
      <c r="H29" s="294"/>
      <c r="I29" s="294"/>
      <c r="J29" s="294"/>
      <c r="K29" s="294"/>
      <c r="L29" s="290"/>
      <c r="M29" s="284"/>
      <c r="N29" s="284"/>
      <c r="O29" s="284"/>
      <c r="P29" s="284"/>
      <c r="Q29" s="284"/>
      <c r="R29" s="284"/>
      <c r="S29" s="81"/>
      <c r="T29" s="81"/>
      <c r="U29" s="81"/>
    </row>
    <row r="30" spans="1:21" x14ac:dyDescent="0.35">
      <c r="A30" s="294"/>
      <c r="B30" s="294"/>
      <c r="C30" s="294"/>
      <c r="D30" s="294"/>
      <c r="E30" s="294"/>
      <c r="F30" s="294"/>
      <c r="G30" s="294"/>
      <c r="H30" s="294"/>
      <c r="I30" s="294"/>
      <c r="J30" s="294"/>
      <c r="K30" s="294"/>
      <c r="L30" s="290"/>
      <c r="M30" s="284"/>
      <c r="N30" s="284"/>
      <c r="O30" s="284"/>
      <c r="P30" s="284"/>
      <c r="Q30" s="284"/>
      <c r="R30" s="284"/>
      <c r="S30" s="81"/>
      <c r="T30" s="81"/>
      <c r="U30" s="81"/>
    </row>
    <row r="31" spans="1:21" ht="17.649999999999999" x14ac:dyDescent="0.35">
      <c r="A31" s="294"/>
      <c r="B31" s="294"/>
      <c r="C31" s="294"/>
      <c r="D31" s="294"/>
      <c r="E31" s="294"/>
      <c r="F31" s="438" t="s">
        <v>389</v>
      </c>
      <c r="G31" s="439"/>
      <c r="H31" s="439"/>
      <c r="I31" s="439"/>
      <c r="J31" s="439"/>
      <c r="K31" s="439"/>
      <c r="L31" s="439"/>
      <c r="M31" s="440"/>
      <c r="N31" s="284"/>
      <c r="O31" s="284"/>
      <c r="P31" s="284"/>
      <c r="Q31" s="284"/>
      <c r="R31" s="284"/>
      <c r="S31" s="81"/>
      <c r="T31" s="81"/>
      <c r="U31" s="81"/>
    </row>
    <row r="32" spans="1:21" ht="17.25" x14ac:dyDescent="0.35">
      <c r="A32" s="294"/>
      <c r="B32" s="294"/>
      <c r="C32" s="294"/>
      <c r="D32" s="294"/>
      <c r="E32" s="294"/>
      <c r="F32" s="430" t="s">
        <v>390</v>
      </c>
      <c r="G32" s="433" t="s">
        <v>391</v>
      </c>
      <c r="H32" s="433"/>
      <c r="I32" s="431" t="s">
        <v>392</v>
      </c>
      <c r="J32" s="434" t="s">
        <v>393</v>
      </c>
      <c r="K32" s="434"/>
      <c r="L32" s="435" t="s">
        <v>394</v>
      </c>
      <c r="M32" s="436"/>
      <c r="N32" s="284"/>
      <c r="O32" s="284"/>
      <c r="P32" s="284"/>
      <c r="Q32" s="284"/>
      <c r="R32" s="284"/>
      <c r="S32" s="81"/>
      <c r="T32" s="81"/>
      <c r="U32" s="81"/>
    </row>
    <row r="33" spans="1:21" ht="17.25" x14ac:dyDescent="0.35">
      <c r="A33" s="294"/>
      <c r="B33" s="294"/>
      <c r="C33" s="294"/>
      <c r="D33" s="294"/>
      <c r="E33" s="294"/>
      <c r="F33" s="430" t="s">
        <v>395</v>
      </c>
      <c r="G33" s="433" t="s">
        <v>396</v>
      </c>
      <c r="H33" s="433"/>
      <c r="I33" s="431" t="s">
        <v>397</v>
      </c>
      <c r="J33" s="434" t="s">
        <v>398</v>
      </c>
      <c r="K33" s="434"/>
      <c r="L33" s="435" t="s">
        <v>399</v>
      </c>
      <c r="M33" s="436"/>
      <c r="N33" s="284"/>
      <c r="O33" s="284"/>
      <c r="P33" s="284"/>
      <c r="Q33" s="284"/>
      <c r="R33" s="284"/>
      <c r="S33" s="81"/>
      <c r="T33" s="81"/>
      <c r="U33" s="81"/>
    </row>
    <row r="34" spans="1:21" x14ac:dyDescent="0.35">
      <c r="A34" s="294"/>
      <c r="B34" s="294"/>
      <c r="C34" s="294"/>
      <c r="D34" s="294"/>
      <c r="E34" s="294"/>
      <c r="F34" s="294"/>
      <c r="G34" s="294"/>
      <c r="H34" s="294"/>
      <c r="I34" s="294"/>
      <c r="J34" s="294"/>
      <c r="K34" s="294"/>
      <c r="L34" s="290"/>
      <c r="M34" s="284"/>
      <c r="N34" s="284"/>
      <c r="O34" s="284"/>
      <c r="P34" s="284"/>
      <c r="Q34" s="284"/>
      <c r="R34" s="284"/>
      <c r="S34" s="81"/>
      <c r="T34" s="81"/>
      <c r="U34" s="81"/>
    </row>
    <row r="35" spans="1:21" x14ac:dyDescent="0.35">
      <c r="A35" s="2"/>
      <c r="B35" s="2"/>
      <c r="C35" s="2"/>
      <c r="D35" s="2"/>
      <c r="E35" s="2"/>
      <c r="F35" s="2"/>
      <c r="G35" s="2"/>
      <c r="H35" s="2"/>
      <c r="I35" s="2"/>
      <c r="J35" s="2"/>
      <c r="K35" s="2"/>
      <c r="L35" s="10"/>
      <c r="M35" s="81"/>
      <c r="N35" s="81"/>
      <c r="O35" s="81"/>
      <c r="P35" s="81"/>
      <c r="Q35" s="81"/>
      <c r="R35" s="81"/>
      <c r="S35" s="81"/>
      <c r="T35" s="81"/>
      <c r="U35" s="81"/>
    </row>
    <row r="36" spans="1:21" x14ac:dyDescent="0.35">
      <c r="A36" s="2"/>
      <c r="B36" s="2"/>
      <c r="C36" s="2"/>
      <c r="D36" s="2"/>
      <c r="E36" s="2"/>
      <c r="F36" s="2"/>
      <c r="G36" s="2"/>
      <c r="H36" s="2"/>
      <c r="I36" s="2"/>
      <c r="J36" s="2"/>
      <c r="K36" s="2"/>
      <c r="L36" s="10"/>
      <c r="M36" s="81"/>
      <c r="N36" s="81"/>
      <c r="O36" s="81"/>
      <c r="P36" s="81"/>
      <c r="Q36" s="81"/>
      <c r="R36" s="81"/>
      <c r="S36" s="81"/>
      <c r="T36" s="81"/>
      <c r="U36" s="81"/>
    </row>
    <row r="37" spans="1:21" x14ac:dyDescent="0.35">
      <c r="A37" s="2"/>
      <c r="B37" s="2"/>
      <c r="C37" s="2"/>
      <c r="D37" s="2"/>
      <c r="E37" s="2"/>
      <c r="F37" s="2"/>
      <c r="G37" s="2"/>
      <c r="H37" s="2"/>
      <c r="I37" s="2"/>
      <c r="J37" s="2"/>
      <c r="K37" s="2"/>
      <c r="L37" s="10"/>
      <c r="M37" s="81"/>
      <c r="N37" s="81"/>
      <c r="O37" s="81"/>
      <c r="P37" s="81"/>
      <c r="Q37" s="81"/>
      <c r="R37" s="81"/>
      <c r="S37" s="81"/>
      <c r="T37" s="81"/>
      <c r="U37" s="81"/>
    </row>
    <row r="38" spans="1:21" x14ac:dyDescent="0.35">
      <c r="A38" s="2"/>
      <c r="B38" s="2"/>
      <c r="C38" s="2"/>
      <c r="D38" s="2"/>
      <c r="E38" s="2"/>
      <c r="F38" s="2"/>
      <c r="G38" s="2"/>
      <c r="H38" s="2"/>
      <c r="I38" s="2"/>
      <c r="J38" s="2"/>
      <c r="K38" s="2"/>
      <c r="L38" s="10"/>
      <c r="M38" s="81"/>
      <c r="N38" s="81"/>
      <c r="O38" s="81"/>
      <c r="P38" s="81"/>
      <c r="Q38" s="81"/>
      <c r="R38" s="81"/>
      <c r="S38" s="81"/>
      <c r="T38" s="81"/>
      <c r="U38" s="81"/>
    </row>
    <row r="39" spans="1:21" x14ac:dyDescent="0.35">
      <c r="A39" s="2"/>
      <c r="B39" s="2"/>
      <c r="C39" s="2"/>
      <c r="D39" s="2"/>
      <c r="E39" s="2"/>
      <c r="F39" s="2"/>
      <c r="G39" s="2"/>
      <c r="H39" s="2"/>
      <c r="I39" s="2"/>
      <c r="J39" s="2"/>
      <c r="K39" s="2"/>
      <c r="L39" s="10"/>
      <c r="M39" s="81"/>
      <c r="N39" s="81"/>
      <c r="O39" s="81"/>
      <c r="P39" s="81"/>
      <c r="Q39" s="81"/>
      <c r="R39" s="81"/>
      <c r="S39" s="81"/>
      <c r="T39" s="81"/>
      <c r="U39" s="81"/>
    </row>
    <row r="40" spans="1:21" x14ac:dyDescent="0.35">
      <c r="A40" s="2"/>
      <c r="B40" s="2"/>
      <c r="C40" s="2"/>
      <c r="D40" s="2"/>
      <c r="E40" s="2"/>
      <c r="F40" s="2"/>
      <c r="G40" s="2"/>
      <c r="H40" s="2"/>
      <c r="I40" s="2"/>
      <c r="J40" s="2"/>
      <c r="K40" s="2"/>
      <c r="L40" s="10"/>
      <c r="M40" s="81"/>
      <c r="N40" s="81"/>
      <c r="O40" s="81"/>
      <c r="P40" s="81"/>
      <c r="Q40" s="81"/>
      <c r="R40" s="81"/>
      <c r="S40" s="81"/>
      <c r="T40" s="81"/>
      <c r="U40" s="81"/>
    </row>
    <row r="41" spans="1:21" x14ac:dyDescent="0.35">
      <c r="A41" s="2"/>
      <c r="B41" s="10"/>
      <c r="C41" s="2"/>
      <c r="D41" s="2"/>
      <c r="E41" s="2"/>
      <c r="F41" s="2"/>
      <c r="G41" s="2"/>
      <c r="H41" s="2"/>
      <c r="I41" s="2"/>
      <c r="J41" s="2"/>
      <c r="K41" s="2"/>
      <c r="L41" s="10"/>
      <c r="M41" s="81"/>
      <c r="N41" s="81"/>
      <c r="O41" s="81"/>
      <c r="P41" s="81"/>
      <c r="Q41" s="81"/>
      <c r="R41" s="81"/>
      <c r="S41" s="81"/>
      <c r="T41" s="81"/>
      <c r="U41" s="81"/>
    </row>
    <row r="42" spans="1:21" ht="20.65" x14ac:dyDescent="0.6">
      <c r="A42" s="2"/>
      <c r="B42" s="85"/>
      <c r="C42" s="2"/>
      <c r="D42" s="2"/>
      <c r="E42" s="2"/>
      <c r="F42" s="2"/>
      <c r="G42" s="2"/>
      <c r="H42" s="2"/>
      <c r="I42" s="2"/>
      <c r="J42" s="2"/>
      <c r="K42" s="2"/>
      <c r="L42" s="10"/>
      <c r="M42" s="81"/>
      <c r="N42" s="81"/>
      <c r="O42" s="81"/>
      <c r="P42" s="81"/>
      <c r="Q42" s="81"/>
      <c r="R42" s="81"/>
      <c r="S42" s="81"/>
      <c r="T42" s="81"/>
      <c r="U42" s="81"/>
    </row>
    <row r="43" spans="1:21" ht="15" x14ac:dyDescent="0.4">
      <c r="A43" s="2"/>
      <c r="B43" s="86"/>
      <c r="C43" s="86"/>
      <c r="D43" s="86"/>
      <c r="E43" s="86"/>
      <c r="F43" s="86"/>
      <c r="G43" s="2"/>
      <c r="H43" s="2"/>
      <c r="I43" s="2"/>
      <c r="J43" s="2"/>
      <c r="K43" s="2"/>
      <c r="L43" s="10"/>
      <c r="M43" s="81"/>
      <c r="N43" s="81"/>
      <c r="O43" s="81"/>
      <c r="P43" s="81"/>
      <c r="Q43" s="81"/>
      <c r="R43" s="81"/>
      <c r="S43" s="81"/>
      <c r="T43" s="81"/>
      <c r="U43" s="81"/>
    </row>
    <row r="44" spans="1:21" ht="22.15" x14ac:dyDescent="0.35">
      <c r="A44" s="2"/>
      <c r="B44" s="3"/>
      <c r="C44" s="3"/>
      <c r="D44" s="3"/>
      <c r="E44" s="2"/>
      <c r="F44" s="2"/>
      <c r="G44" s="2"/>
      <c r="H44" s="2"/>
      <c r="I44" s="2"/>
      <c r="J44" s="2"/>
      <c r="K44" s="2"/>
      <c r="L44" s="10"/>
      <c r="M44" s="81"/>
      <c r="N44" s="81"/>
      <c r="O44" s="81"/>
      <c r="P44" s="81"/>
      <c r="Q44" s="81"/>
      <c r="R44" s="81"/>
      <c r="S44" s="81"/>
      <c r="T44" s="81"/>
      <c r="U44" s="81"/>
    </row>
    <row r="45" spans="1:21" ht="22.15" x14ac:dyDescent="0.35">
      <c r="A45" s="2"/>
      <c r="B45" s="3"/>
      <c r="C45" s="3"/>
      <c r="D45" s="3"/>
      <c r="E45" s="2"/>
      <c r="F45" s="2"/>
      <c r="G45" s="2"/>
      <c r="H45" s="2"/>
      <c r="I45" s="2"/>
      <c r="J45" s="2"/>
      <c r="K45" s="2"/>
      <c r="L45" s="10"/>
      <c r="M45" s="81"/>
      <c r="N45" s="81"/>
      <c r="O45" s="81"/>
      <c r="P45" s="81"/>
      <c r="Q45" s="81"/>
      <c r="R45" s="81"/>
      <c r="S45" s="81"/>
      <c r="T45" s="81"/>
      <c r="U45" s="81"/>
    </row>
    <row r="46" spans="1:21" ht="22.15" x14ac:dyDescent="0.35">
      <c r="A46" s="2"/>
      <c r="B46" s="3"/>
      <c r="C46" s="3"/>
      <c r="D46" s="3"/>
      <c r="E46" s="2"/>
      <c r="F46" s="2"/>
      <c r="G46" s="2"/>
      <c r="H46" s="2"/>
      <c r="I46" s="2"/>
      <c r="J46" s="2"/>
      <c r="K46" s="2"/>
      <c r="L46" s="10"/>
      <c r="M46" s="81"/>
      <c r="N46" s="81"/>
      <c r="O46" s="81"/>
      <c r="P46" s="81"/>
      <c r="Q46" s="81"/>
      <c r="R46" s="81"/>
      <c r="S46" s="81"/>
      <c r="T46" s="81"/>
      <c r="U46" s="81"/>
    </row>
    <row r="47" spans="1:21" ht="22.15" x14ac:dyDescent="0.35">
      <c r="A47" s="2"/>
      <c r="B47" s="3"/>
      <c r="C47" s="3"/>
      <c r="D47" s="3"/>
      <c r="E47" s="2"/>
      <c r="F47" s="2"/>
      <c r="G47" s="2"/>
      <c r="H47" s="2"/>
      <c r="I47" s="2"/>
      <c r="J47" s="2"/>
      <c r="K47" s="2"/>
      <c r="L47" s="10"/>
      <c r="M47" s="10"/>
      <c r="N47" s="10"/>
      <c r="O47" s="10"/>
      <c r="P47" s="10"/>
      <c r="Q47" s="81"/>
      <c r="R47" s="81"/>
      <c r="S47" s="81"/>
      <c r="T47" s="81"/>
      <c r="U47" s="81"/>
    </row>
    <row r="48" spans="1:21" x14ac:dyDescent="0.35">
      <c r="A48" s="2"/>
      <c r="B48" s="2"/>
      <c r="C48" s="2"/>
      <c r="D48" s="2"/>
      <c r="E48" s="2"/>
      <c r="F48" s="2"/>
      <c r="G48" s="2"/>
      <c r="H48" s="2"/>
      <c r="I48" s="2"/>
      <c r="J48" s="2"/>
      <c r="K48" s="2"/>
      <c r="L48" s="10"/>
      <c r="M48" s="10"/>
      <c r="N48" s="10"/>
      <c r="O48" s="10"/>
      <c r="P48" s="10"/>
      <c r="Q48" s="81"/>
      <c r="R48" s="81"/>
      <c r="S48" s="81"/>
      <c r="T48" s="81"/>
      <c r="U48" s="81"/>
    </row>
    <row r="49" spans="1:16" x14ac:dyDescent="0.35">
      <c r="A49" s="2"/>
      <c r="B49" s="2"/>
      <c r="C49" s="2"/>
      <c r="D49" s="2"/>
      <c r="E49" s="2"/>
      <c r="F49" s="2"/>
      <c r="G49" s="2"/>
      <c r="H49" s="2"/>
      <c r="I49" s="2"/>
      <c r="J49" s="2"/>
      <c r="K49" s="2"/>
      <c r="L49" s="1"/>
      <c r="M49" s="1"/>
      <c r="N49" s="1"/>
      <c r="O49" s="1"/>
      <c r="P49" s="1"/>
    </row>
    <row r="50" spans="1:16" x14ac:dyDescent="0.35">
      <c r="A50" s="2"/>
      <c r="B50" s="2"/>
      <c r="C50" s="2"/>
      <c r="D50" s="2"/>
      <c r="E50" s="2"/>
      <c r="F50" s="2"/>
      <c r="G50" s="2"/>
      <c r="H50" s="2"/>
      <c r="I50" s="2"/>
      <c r="J50" s="2"/>
      <c r="K50" s="2"/>
      <c r="L50" s="1"/>
      <c r="M50" s="1"/>
      <c r="N50" s="1"/>
      <c r="O50" s="1"/>
      <c r="P50" s="1"/>
    </row>
    <row r="51" spans="1:16" x14ac:dyDescent="0.35">
      <c r="A51" s="2"/>
      <c r="B51" s="2"/>
      <c r="C51" s="2"/>
      <c r="D51" s="2"/>
      <c r="E51" s="2"/>
      <c r="F51" s="2"/>
      <c r="G51" s="2"/>
      <c r="H51" s="2"/>
      <c r="I51" s="2"/>
      <c r="J51" s="2"/>
      <c r="K51" s="2"/>
      <c r="L51" s="1"/>
      <c r="M51" s="1"/>
      <c r="N51" s="1"/>
      <c r="O51" s="1"/>
      <c r="P51" s="1"/>
    </row>
    <row r="52" spans="1:16" x14ac:dyDescent="0.35">
      <c r="A52" s="2"/>
      <c r="B52" s="2"/>
      <c r="C52" s="2"/>
      <c r="D52" s="2"/>
      <c r="E52" s="2"/>
      <c r="F52" s="2"/>
      <c r="G52" s="2"/>
      <c r="H52" s="2"/>
      <c r="I52" s="2"/>
      <c r="J52" s="2"/>
      <c r="K52" s="2"/>
      <c r="L52" s="1"/>
      <c r="M52" s="1"/>
      <c r="N52" s="1"/>
      <c r="O52" s="1"/>
      <c r="P52" s="1"/>
    </row>
    <row r="53" spans="1:16" x14ac:dyDescent="0.35">
      <c r="A53" s="2"/>
      <c r="B53" s="2"/>
      <c r="C53" s="2"/>
      <c r="D53" s="2"/>
      <c r="E53" s="2"/>
      <c r="F53" s="2"/>
      <c r="G53" s="2"/>
      <c r="H53" s="2"/>
      <c r="I53" s="2"/>
      <c r="J53" s="2"/>
      <c r="K53" s="2"/>
      <c r="L53" s="1"/>
      <c r="M53" s="1"/>
      <c r="N53" s="1"/>
      <c r="O53" s="1"/>
      <c r="P53" s="1"/>
    </row>
    <row r="54" spans="1:16" x14ac:dyDescent="0.35">
      <c r="A54" s="2"/>
      <c r="B54" s="2"/>
      <c r="C54" s="2"/>
      <c r="D54" s="2"/>
      <c r="E54" s="2"/>
      <c r="F54" s="2"/>
      <c r="G54" s="2"/>
      <c r="H54" s="2"/>
      <c r="I54" s="2"/>
      <c r="J54" s="2"/>
      <c r="K54" s="2"/>
      <c r="L54" s="1"/>
      <c r="M54" s="1"/>
      <c r="N54" s="1"/>
      <c r="O54" s="1"/>
      <c r="P54" s="1"/>
    </row>
    <row r="55" spans="1:16" x14ac:dyDescent="0.35">
      <c r="A55" s="2"/>
      <c r="B55" s="2"/>
      <c r="C55" s="2"/>
      <c r="D55" s="2"/>
      <c r="E55" s="2"/>
      <c r="F55" s="2"/>
      <c r="G55" s="2"/>
      <c r="H55" s="2"/>
      <c r="I55" s="2"/>
      <c r="J55" s="2"/>
      <c r="K55" s="2"/>
      <c r="L55" s="1"/>
      <c r="M55" s="1"/>
      <c r="N55" s="1"/>
      <c r="O55" s="1"/>
      <c r="P55" s="1"/>
    </row>
    <row r="56" spans="1:16" x14ac:dyDescent="0.35">
      <c r="A56" s="2"/>
      <c r="B56" s="2"/>
      <c r="C56" s="2"/>
      <c r="D56" s="2"/>
      <c r="E56" s="2"/>
      <c r="F56" s="2"/>
      <c r="G56" s="2"/>
      <c r="H56" s="2"/>
      <c r="I56" s="2"/>
      <c r="J56" s="2"/>
      <c r="K56" s="2"/>
      <c r="L56" s="1"/>
      <c r="M56" s="1"/>
      <c r="N56" s="1"/>
      <c r="O56" s="1"/>
      <c r="P56" s="1"/>
    </row>
    <row r="57" spans="1:16" x14ac:dyDescent="0.35">
      <c r="A57" s="2"/>
      <c r="B57" s="2"/>
      <c r="C57" s="2"/>
      <c r="D57" s="2"/>
      <c r="E57" s="2"/>
      <c r="F57" s="2"/>
      <c r="G57" s="2"/>
      <c r="H57" s="2"/>
      <c r="I57" s="2"/>
      <c r="J57" s="2"/>
      <c r="K57" s="2"/>
      <c r="L57" s="1"/>
      <c r="M57" s="1"/>
      <c r="N57" s="1"/>
      <c r="O57" s="1"/>
      <c r="P57" s="1"/>
    </row>
    <row r="58" spans="1:16" x14ac:dyDescent="0.35">
      <c r="A58" s="2"/>
      <c r="B58" s="2"/>
      <c r="C58" s="2"/>
      <c r="D58" s="2"/>
      <c r="E58" s="2"/>
      <c r="F58" s="2"/>
      <c r="G58" s="2"/>
      <c r="H58" s="2"/>
      <c r="I58" s="2"/>
      <c r="J58" s="2"/>
      <c r="K58" s="2"/>
      <c r="L58" s="1"/>
      <c r="M58" s="1"/>
      <c r="N58" s="1"/>
      <c r="O58" s="1"/>
      <c r="P58" s="1"/>
    </row>
    <row r="59" spans="1:16" x14ac:dyDescent="0.35">
      <c r="A59" s="2"/>
      <c r="B59" s="2"/>
      <c r="C59" s="2"/>
      <c r="D59" s="2"/>
      <c r="E59" s="2"/>
      <c r="F59" s="2"/>
      <c r="G59" s="2"/>
      <c r="H59" s="2"/>
      <c r="I59" s="2"/>
      <c r="J59" s="2"/>
      <c r="K59" s="2"/>
      <c r="L59" s="1"/>
      <c r="M59" s="1"/>
      <c r="N59" s="1"/>
      <c r="O59" s="1"/>
      <c r="P59" s="1"/>
    </row>
    <row r="60" spans="1:16" x14ac:dyDescent="0.35">
      <c r="A60" s="2"/>
      <c r="B60" s="2"/>
      <c r="C60" s="2"/>
      <c r="D60" s="2"/>
      <c r="E60" s="2"/>
      <c r="F60" s="2"/>
      <c r="G60" s="2"/>
      <c r="H60" s="2"/>
      <c r="I60" s="2"/>
      <c r="J60" s="2"/>
      <c r="K60" s="2"/>
      <c r="L60" s="1"/>
      <c r="M60" s="1"/>
      <c r="N60" s="1"/>
      <c r="O60" s="1"/>
      <c r="P60" s="1"/>
    </row>
    <row r="61" spans="1:16" x14ac:dyDescent="0.35">
      <c r="A61" s="2"/>
      <c r="B61" s="2"/>
      <c r="C61" s="2"/>
      <c r="D61" s="2"/>
      <c r="E61" s="2"/>
      <c r="F61" s="2"/>
      <c r="G61" s="2"/>
      <c r="H61" s="2"/>
      <c r="I61" s="2"/>
      <c r="J61" s="2"/>
      <c r="K61" s="2"/>
      <c r="L61" s="1"/>
      <c r="M61" s="1"/>
      <c r="N61" s="1"/>
      <c r="O61" s="1"/>
      <c r="P61" s="1"/>
    </row>
    <row r="62" spans="1:16" x14ac:dyDescent="0.35">
      <c r="A62" s="2"/>
      <c r="B62" s="2"/>
      <c r="C62" s="2"/>
      <c r="D62" s="2"/>
      <c r="E62" s="2"/>
      <c r="F62" s="2"/>
      <c r="G62" s="2"/>
      <c r="H62" s="2"/>
      <c r="I62" s="2"/>
      <c r="J62" s="2"/>
      <c r="K62" s="2"/>
      <c r="L62" s="1"/>
      <c r="M62" s="1"/>
      <c r="N62" s="1"/>
      <c r="O62" s="1"/>
      <c r="P62" s="1"/>
    </row>
    <row r="63" spans="1:16" x14ac:dyDescent="0.35">
      <c r="A63" s="2"/>
      <c r="B63" s="2"/>
      <c r="C63" s="2"/>
      <c r="D63" s="2"/>
      <c r="E63" s="2"/>
      <c r="F63" s="2"/>
      <c r="G63" s="2"/>
      <c r="H63" s="2"/>
      <c r="I63" s="2"/>
      <c r="J63" s="2"/>
      <c r="K63" s="2"/>
      <c r="L63" s="1"/>
      <c r="M63" s="1"/>
      <c r="N63" s="1"/>
      <c r="O63" s="1"/>
      <c r="P63" s="1"/>
    </row>
    <row r="64" spans="1:16" x14ac:dyDescent="0.35">
      <c r="A64" s="2"/>
      <c r="B64" s="2"/>
      <c r="C64" s="2"/>
      <c r="D64" s="2"/>
      <c r="E64" s="2"/>
      <c r="F64" s="2"/>
      <c r="G64" s="2"/>
      <c r="H64" s="2"/>
      <c r="I64" s="2"/>
      <c r="J64" s="2"/>
      <c r="K64" s="2"/>
      <c r="L64" s="1"/>
      <c r="M64" s="1"/>
      <c r="N64" s="1"/>
      <c r="O64" s="1"/>
      <c r="P64" s="1"/>
    </row>
    <row r="65" spans="1:16" x14ac:dyDescent="0.35">
      <c r="A65" s="2"/>
      <c r="B65" s="2"/>
      <c r="C65" s="2"/>
      <c r="D65" s="2"/>
      <c r="E65" s="2"/>
      <c r="F65" s="2"/>
      <c r="G65" s="2"/>
      <c r="H65" s="2"/>
      <c r="I65" s="2"/>
      <c r="J65" s="2"/>
      <c r="K65" s="2"/>
      <c r="L65" s="1"/>
      <c r="M65" s="1"/>
      <c r="N65" s="1"/>
      <c r="O65" s="1"/>
      <c r="P65" s="1"/>
    </row>
    <row r="66" spans="1:16" x14ac:dyDescent="0.35">
      <c r="A66" s="2"/>
      <c r="B66" s="2"/>
      <c r="C66" s="2"/>
      <c r="D66" s="2"/>
      <c r="E66" s="2"/>
      <c r="F66" s="2"/>
      <c r="G66" s="2"/>
      <c r="H66" s="2"/>
      <c r="I66" s="2"/>
      <c r="J66" s="2"/>
      <c r="K66" s="2"/>
      <c r="L66" s="1"/>
      <c r="M66" s="1"/>
      <c r="N66" s="1"/>
      <c r="O66" s="1"/>
      <c r="P66" s="1"/>
    </row>
    <row r="67" spans="1:16" x14ac:dyDescent="0.35">
      <c r="A67" s="2"/>
      <c r="B67" s="2"/>
      <c r="C67" s="2"/>
      <c r="D67" s="2"/>
      <c r="E67" s="2"/>
      <c r="F67" s="2"/>
      <c r="G67" s="2"/>
      <c r="H67" s="2"/>
      <c r="I67" s="2"/>
      <c r="J67" s="2"/>
      <c r="K67" s="2"/>
      <c r="L67" s="1"/>
      <c r="M67" s="1"/>
      <c r="N67" s="1"/>
      <c r="O67" s="1"/>
      <c r="P67" s="1"/>
    </row>
    <row r="68" spans="1:16" x14ac:dyDescent="0.35">
      <c r="A68" s="2"/>
      <c r="B68" s="2"/>
      <c r="C68" s="2"/>
      <c r="D68" s="2"/>
      <c r="E68" s="2"/>
      <c r="F68" s="2"/>
      <c r="G68" s="2"/>
      <c r="H68" s="2"/>
      <c r="I68" s="2"/>
      <c r="J68" s="2"/>
      <c r="K68" s="2"/>
      <c r="L68" s="1"/>
      <c r="M68" s="1"/>
      <c r="N68" s="1"/>
      <c r="O68" s="1"/>
      <c r="P68" s="1"/>
    </row>
    <row r="69" spans="1:16" x14ac:dyDescent="0.35">
      <c r="A69" s="2"/>
      <c r="B69" s="2"/>
      <c r="C69" s="2"/>
      <c r="D69" s="2"/>
      <c r="E69" s="2"/>
      <c r="F69" s="2"/>
      <c r="G69" s="2"/>
      <c r="H69" s="2"/>
      <c r="I69" s="2"/>
      <c r="J69" s="2"/>
      <c r="K69" s="2"/>
      <c r="L69" s="1"/>
      <c r="M69" s="1"/>
      <c r="N69" s="1"/>
      <c r="O69" s="1"/>
      <c r="P69" s="1"/>
    </row>
    <row r="70" spans="1:16" x14ac:dyDescent="0.35">
      <c r="A70" s="2"/>
      <c r="B70" s="2"/>
      <c r="C70" s="2"/>
      <c r="D70" s="2"/>
      <c r="E70" s="2"/>
      <c r="F70" s="2"/>
      <c r="G70" s="2"/>
      <c r="H70" s="2"/>
      <c r="I70" s="2"/>
      <c r="J70" s="2"/>
      <c r="K70" s="2"/>
      <c r="L70" s="1"/>
      <c r="M70" s="1"/>
      <c r="N70" s="1"/>
      <c r="O70" s="1"/>
      <c r="P70" s="1"/>
    </row>
    <row r="71" spans="1:16" x14ac:dyDescent="0.35">
      <c r="A71" s="2"/>
      <c r="B71" s="2"/>
      <c r="C71" s="2"/>
      <c r="D71" s="2"/>
      <c r="E71" s="2"/>
      <c r="F71" s="2"/>
      <c r="G71" s="2"/>
      <c r="H71" s="2"/>
      <c r="I71" s="2"/>
      <c r="J71" s="2"/>
      <c r="K71" s="2"/>
      <c r="L71" s="1"/>
      <c r="M71" s="1"/>
      <c r="N71" s="1"/>
      <c r="O71" s="1"/>
      <c r="P71" s="1"/>
    </row>
    <row r="72" spans="1:16" x14ac:dyDescent="0.35">
      <c r="A72" s="2"/>
      <c r="B72" s="2"/>
      <c r="C72" s="2"/>
      <c r="D72" s="2"/>
      <c r="E72" s="2"/>
      <c r="F72" s="2"/>
      <c r="G72" s="2"/>
      <c r="H72" s="2"/>
      <c r="I72" s="2"/>
      <c r="J72" s="2"/>
      <c r="K72" s="2"/>
      <c r="L72" s="1"/>
      <c r="M72" s="1"/>
      <c r="N72" s="1"/>
      <c r="O72" s="1"/>
      <c r="P72" s="1"/>
    </row>
    <row r="73" spans="1:16" x14ac:dyDescent="0.35">
      <c r="A73" s="2"/>
      <c r="B73" s="2"/>
      <c r="C73" s="2"/>
      <c r="D73" s="2"/>
      <c r="E73" s="2"/>
      <c r="F73" s="2"/>
      <c r="G73" s="2"/>
      <c r="H73" s="2"/>
      <c r="I73" s="2"/>
      <c r="J73" s="2"/>
      <c r="K73" s="2"/>
      <c r="L73" s="1"/>
      <c r="M73" s="1"/>
      <c r="N73" s="1"/>
      <c r="O73" s="1"/>
      <c r="P73" s="1"/>
    </row>
    <row r="74" spans="1:16" x14ac:dyDescent="0.35">
      <c r="A74" s="2"/>
      <c r="B74" s="2"/>
      <c r="C74" s="2"/>
      <c r="D74" s="2"/>
      <c r="E74" s="2"/>
      <c r="F74" s="2"/>
      <c r="G74" s="2"/>
      <c r="H74" s="2"/>
      <c r="I74" s="2"/>
      <c r="J74" s="2"/>
      <c r="K74" s="2"/>
      <c r="L74" s="1"/>
      <c r="M74" s="1"/>
      <c r="N74" s="1"/>
      <c r="O74" s="1"/>
      <c r="P74" s="1"/>
    </row>
    <row r="75" spans="1:16" x14ac:dyDescent="0.35">
      <c r="A75" s="2"/>
      <c r="B75" s="2"/>
      <c r="C75" s="2"/>
      <c r="D75" s="2"/>
      <c r="E75" s="2"/>
      <c r="F75" s="2"/>
      <c r="G75" s="2"/>
      <c r="H75" s="2"/>
      <c r="I75" s="2"/>
      <c r="J75" s="2"/>
      <c r="K75" s="2"/>
      <c r="L75" s="1"/>
      <c r="M75" s="1"/>
      <c r="N75" s="1"/>
      <c r="O75" s="1"/>
      <c r="P75" s="1"/>
    </row>
    <row r="76" spans="1:16" x14ac:dyDescent="0.35">
      <c r="A76" s="1"/>
      <c r="B76" s="1"/>
      <c r="C76" s="1"/>
      <c r="D76" s="1"/>
      <c r="E76" s="1"/>
      <c r="F76" s="1"/>
      <c r="G76" s="1"/>
      <c r="H76" s="1"/>
      <c r="I76" s="1"/>
      <c r="J76" s="1"/>
      <c r="K76" s="1"/>
      <c r="L76" s="1"/>
      <c r="M76" s="1"/>
      <c r="N76" s="1"/>
      <c r="O76" s="1"/>
      <c r="P76" s="1"/>
    </row>
    <row r="77" spans="1:16" x14ac:dyDescent="0.35">
      <c r="A77" s="1"/>
      <c r="B77" s="1"/>
      <c r="C77" s="1"/>
      <c r="D77" s="1"/>
      <c r="E77" s="1"/>
      <c r="F77" s="1"/>
      <c r="G77" s="1"/>
      <c r="H77" s="1"/>
      <c r="I77" s="1"/>
      <c r="J77" s="1"/>
      <c r="K77" s="1"/>
      <c r="L77" s="1"/>
      <c r="M77" s="1"/>
      <c r="N77" s="1"/>
      <c r="O77" s="1"/>
      <c r="P77" s="1"/>
    </row>
    <row r="78" spans="1:16" x14ac:dyDescent="0.35">
      <c r="A78" s="1"/>
      <c r="B78" s="1"/>
      <c r="C78" s="1"/>
      <c r="D78" s="1"/>
      <c r="E78" s="1"/>
      <c r="F78" s="1"/>
      <c r="G78" s="1"/>
      <c r="H78" s="1"/>
      <c r="I78" s="1"/>
      <c r="J78" s="1"/>
      <c r="K78" s="1"/>
      <c r="L78" s="1"/>
      <c r="M78" s="1"/>
      <c r="N78" s="1"/>
      <c r="O78" s="1"/>
      <c r="P78" s="1"/>
    </row>
    <row r="79" spans="1:16" x14ac:dyDescent="0.35">
      <c r="A79" s="1"/>
      <c r="B79" s="1"/>
      <c r="C79" s="1"/>
      <c r="D79" s="1"/>
      <c r="E79" s="1"/>
      <c r="F79" s="1"/>
      <c r="G79" s="1"/>
      <c r="H79" s="1"/>
      <c r="I79" s="1"/>
      <c r="J79" s="1"/>
      <c r="K79" s="1"/>
      <c r="L79" s="1"/>
      <c r="M79" s="1"/>
      <c r="N79" s="1"/>
      <c r="O79" s="1"/>
      <c r="P79" s="1"/>
    </row>
    <row r="80" spans="1:16" x14ac:dyDescent="0.35">
      <c r="A80" s="1"/>
      <c r="B80" s="1"/>
      <c r="C80" s="1"/>
      <c r="D80" s="1"/>
      <c r="E80" s="1"/>
      <c r="F80" s="1"/>
      <c r="G80" s="1"/>
      <c r="H80" s="1"/>
      <c r="I80" s="1"/>
      <c r="J80" s="1"/>
      <c r="K80" s="1"/>
      <c r="L80" s="1"/>
      <c r="M80" s="1"/>
      <c r="N80" s="1"/>
      <c r="O80" s="1"/>
      <c r="P80" s="1"/>
    </row>
    <row r="81" spans="1:16" x14ac:dyDescent="0.35">
      <c r="A81" s="2"/>
      <c r="B81" s="2"/>
      <c r="C81" s="2"/>
      <c r="D81" s="2"/>
      <c r="E81" s="2"/>
      <c r="F81" s="2"/>
      <c r="G81" s="2"/>
      <c r="H81" s="2"/>
      <c r="I81" s="2"/>
      <c r="J81" s="2"/>
      <c r="K81" s="2"/>
      <c r="L81" s="2"/>
      <c r="M81" s="2"/>
      <c r="N81" s="2"/>
      <c r="O81" s="2"/>
      <c r="P81" s="1"/>
    </row>
    <row r="82" spans="1:16" x14ac:dyDescent="0.35">
      <c r="A82" s="2"/>
      <c r="B82" s="2"/>
      <c r="C82" s="2"/>
      <c r="D82" s="2"/>
      <c r="E82" s="2"/>
      <c r="F82" s="2"/>
      <c r="G82" s="2"/>
      <c r="H82" s="2"/>
      <c r="I82" s="2"/>
      <c r="J82" s="2"/>
      <c r="K82" s="2"/>
      <c r="L82" s="2"/>
      <c r="M82" s="2"/>
      <c r="N82" s="2"/>
      <c r="O82" s="2"/>
      <c r="P82" s="1"/>
    </row>
    <row r="83" spans="1:16" x14ac:dyDescent="0.35">
      <c r="A83" s="2"/>
      <c r="B83" s="2"/>
      <c r="C83" s="2"/>
      <c r="D83" s="2"/>
      <c r="E83" s="2"/>
      <c r="F83" s="2"/>
      <c r="G83" s="2"/>
      <c r="H83" s="2"/>
      <c r="I83" s="2"/>
      <c r="J83" s="2"/>
      <c r="K83" s="2"/>
      <c r="L83" s="2"/>
      <c r="M83" s="2"/>
      <c r="N83" s="2"/>
      <c r="O83" s="2"/>
      <c r="P83" s="1"/>
    </row>
    <row r="84" spans="1:16" x14ac:dyDescent="0.35">
      <c r="A84" s="2"/>
      <c r="B84" s="2"/>
      <c r="C84" s="4"/>
      <c r="D84" s="4"/>
      <c r="E84" s="4"/>
      <c r="F84" s="4"/>
      <c r="G84" s="4"/>
      <c r="H84" s="4"/>
      <c r="I84" s="4"/>
      <c r="J84" s="4"/>
      <c r="K84" s="4"/>
      <c r="L84" s="4"/>
      <c r="M84" s="4"/>
      <c r="N84" s="4"/>
      <c r="O84" s="5"/>
      <c r="P84" s="1"/>
    </row>
    <row r="85" spans="1:16" x14ac:dyDescent="0.35">
      <c r="A85" s="2"/>
      <c r="B85" s="2"/>
      <c r="C85" s="2"/>
      <c r="D85" s="2"/>
      <c r="E85" s="2"/>
      <c r="F85" s="2"/>
      <c r="G85" s="2"/>
      <c r="H85" s="2"/>
      <c r="I85" s="2"/>
      <c r="J85" s="2"/>
      <c r="K85" s="2"/>
      <c r="L85" s="2"/>
      <c r="M85" s="2"/>
      <c r="N85" s="2"/>
      <c r="O85" s="2"/>
      <c r="P85" s="1"/>
    </row>
    <row r="86" spans="1:16" x14ac:dyDescent="0.35">
      <c r="A86" s="2"/>
      <c r="B86" s="2"/>
      <c r="C86" s="2"/>
      <c r="D86" s="2"/>
      <c r="E86" s="2"/>
      <c r="F86" s="2"/>
      <c r="G86" s="2"/>
      <c r="H86" s="2"/>
      <c r="I86" s="2"/>
      <c r="J86" s="2"/>
      <c r="K86" s="2"/>
      <c r="L86" s="2"/>
      <c r="M86" s="2"/>
      <c r="N86" s="2"/>
      <c r="O86" s="2"/>
      <c r="P86" s="1"/>
    </row>
    <row r="87" spans="1:16" x14ac:dyDescent="0.35">
      <c r="A87" s="2"/>
      <c r="B87" s="2"/>
      <c r="C87" s="2"/>
      <c r="D87" s="2"/>
      <c r="E87" s="2"/>
      <c r="F87" s="2"/>
      <c r="G87" s="2"/>
      <c r="H87" s="2"/>
      <c r="I87" s="2"/>
      <c r="J87" s="2"/>
      <c r="K87" s="2"/>
      <c r="L87" s="2"/>
      <c r="M87" s="2"/>
      <c r="N87" s="2"/>
      <c r="O87" s="2"/>
      <c r="P87" s="1"/>
    </row>
    <row r="88" spans="1:16" x14ac:dyDescent="0.35">
      <c r="A88" s="2"/>
      <c r="B88" s="2"/>
      <c r="C88" s="2"/>
      <c r="D88" s="2"/>
      <c r="E88" s="2"/>
      <c r="F88" s="2"/>
      <c r="G88" s="2"/>
      <c r="H88" s="2"/>
      <c r="I88" s="2"/>
      <c r="J88" s="2"/>
      <c r="K88" s="2"/>
      <c r="L88" s="2"/>
      <c r="M88" s="2"/>
      <c r="N88" s="2"/>
      <c r="O88" s="2"/>
      <c r="P88" s="1"/>
    </row>
    <row r="89" spans="1:16" x14ac:dyDescent="0.35">
      <c r="A89" s="2"/>
      <c r="B89" s="2"/>
      <c r="C89" s="2"/>
      <c r="D89" s="2"/>
      <c r="E89" s="2"/>
      <c r="F89" s="2"/>
      <c r="G89" s="2"/>
      <c r="H89" s="2"/>
      <c r="I89" s="2"/>
      <c r="J89" s="2"/>
      <c r="K89" s="2"/>
      <c r="L89" s="2"/>
      <c r="M89" s="2"/>
      <c r="N89" s="2"/>
      <c r="O89" s="2"/>
      <c r="P89" s="1"/>
    </row>
    <row r="90" spans="1:16" x14ac:dyDescent="0.35">
      <c r="A90" s="2"/>
      <c r="B90" s="2"/>
      <c r="C90" s="2"/>
      <c r="D90" s="2"/>
      <c r="E90" s="2"/>
      <c r="F90" s="2"/>
      <c r="G90" s="2"/>
      <c r="H90" s="2"/>
      <c r="I90" s="2"/>
      <c r="J90" s="2"/>
      <c r="K90" s="2"/>
      <c r="L90" s="2"/>
      <c r="M90" s="2"/>
      <c r="N90" s="2"/>
      <c r="O90" s="2"/>
      <c r="P90" s="1"/>
    </row>
    <row r="91" spans="1:16" x14ac:dyDescent="0.35">
      <c r="A91" s="2"/>
      <c r="B91" s="2"/>
      <c r="C91" s="2"/>
      <c r="D91" s="2"/>
      <c r="E91" s="2"/>
      <c r="F91" s="2"/>
      <c r="G91" s="2"/>
      <c r="H91" s="2"/>
      <c r="I91" s="2"/>
      <c r="J91" s="2"/>
      <c r="K91" s="2"/>
      <c r="L91" s="2"/>
      <c r="M91" s="2"/>
      <c r="N91" s="2"/>
      <c r="O91" s="2"/>
      <c r="P91" s="1"/>
    </row>
    <row r="92" spans="1:16" x14ac:dyDescent="0.35">
      <c r="A92" s="2"/>
      <c r="B92" s="2"/>
      <c r="C92" s="2"/>
      <c r="D92" s="2"/>
      <c r="E92" s="2"/>
      <c r="F92" s="2"/>
      <c r="G92" s="2"/>
      <c r="H92" s="2"/>
      <c r="I92" s="2"/>
      <c r="J92" s="2"/>
      <c r="K92" s="2"/>
      <c r="L92" s="2"/>
      <c r="M92" s="2"/>
      <c r="N92" s="2"/>
      <c r="O92" s="2"/>
      <c r="P92" s="1"/>
    </row>
    <row r="93" spans="1:16" x14ac:dyDescent="0.35">
      <c r="A93" s="2"/>
      <c r="B93" s="2"/>
      <c r="C93" s="2"/>
      <c r="D93" s="2"/>
      <c r="E93" s="2"/>
      <c r="F93" s="2"/>
      <c r="G93" s="2"/>
      <c r="H93" s="2"/>
      <c r="I93" s="2"/>
      <c r="J93" s="2"/>
      <c r="K93" s="2"/>
      <c r="L93" s="2"/>
      <c r="M93" s="2"/>
      <c r="N93" s="2"/>
      <c r="O93" s="2"/>
      <c r="P93" s="1"/>
    </row>
    <row r="94" spans="1:16" x14ac:dyDescent="0.35">
      <c r="A94" s="2"/>
      <c r="B94" s="2"/>
      <c r="C94" s="2"/>
      <c r="D94" s="2"/>
      <c r="E94" s="2"/>
      <c r="F94" s="2"/>
      <c r="G94" s="2"/>
      <c r="H94" s="2"/>
      <c r="I94" s="2"/>
      <c r="J94" s="2"/>
      <c r="K94" s="2"/>
      <c r="L94" s="2"/>
      <c r="M94" s="2"/>
      <c r="N94" s="2"/>
      <c r="O94" s="2"/>
      <c r="P94" s="1"/>
    </row>
    <row r="95" spans="1:16" x14ac:dyDescent="0.35">
      <c r="A95" s="2"/>
      <c r="B95" s="2"/>
      <c r="C95" s="2"/>
      <c r="D95" s="2"/>
      <c r="E95" s="2"/>
      <c r="F95" s="2"/>
      <c r="G95" s="2"/>
      <c r="H95" s="2"/>
      <c r="I95" s="2"/>
      <c r="J95" s="2"/>
      <c r="K95" s="2"/>
      <c r="L95" s="2"/>
      <c r="M95" s="2"/>
      <c r="N95" s="2"/>
      <c r="O95" s="2"/>
      <c r="P95" s="1"/>
    </row>
    <row r="96" spans="1:16" x14ac:dyDescent="0.35">
      <c r="A96" s="2"/>
      <c r="B96" s="2"/>
      <c r="C96" s="2"/>
      <c r="D96" s="2"/>
      <c r="E96" s="2"/>
      <c r="F96" s="2"/>
      <c r="G96" s="2"/>
      <c r="H96" s="2"/>
      <c r="I96" s="2"/>
      <c r="J96" s="2"/>
      <c r="K96" s="2"/>
      <c r="L96" s="2"/>
      <c r="M96" s="2"/>
      <c r="N96" s="2"/>
      <c r="O96" s="2"/>
      <c r="P96" s="1"/>
    </row>
    <row r="97" spans="1:16" x14ac:dyDescent="0.35">
      <c r="A97" s="2"/>
      <c r="B97" s="2"/>
      <c r="C97" s="2"/>
      <c r="D97" s="2"/>
      <c r="E97" s="2"/>
      <c r="F97" s="2"/>
      <c r="G97" s="2"/>
      <c r="H97" s="2"/>
      <c r="I97" s="2"/>
      <c r="J97" s="2"/>
      <c r="K97" s="2"/>
      <c r="L97" s="2"/>
      <c r="M97" s="2"/>
      <c r="N97" s="2"/>
      <c r="O97" s="2"/>
      <c r="P97" s="1"/>
    </row>
    <row r="98" spans="1:16" x14ac:dyDescent="0.35">
      <c r="A98" s="2"/>
      <c r="B98" s="2"/>
      <c r="C98" s="2"/>
      <c r="D98" s="2"/>
      <c r="E98" s="2"/>
      <c r="F98" s="2"/>
      <c r="G98" s="2"/>
      <c r="H98" s="2"/>
      <c r="I98" s="2"/>
      <c r="J98" s="2"/>
      <c r="K98" s="2"/>
      <c r="L98" s="2"/>
      <c r="M98" s="2"/>
      <c r="N98" s="2"/>
      <c r="O98" s="2"/>
      <c r="P98" s="1"/>
    </row>
    <row r="99" spans="1:16" x14ac:dyDescent="0.35">
      <c r="A99" s="2"/>
      <c r="B99" s="2"/>
      <c r="C99" s="2"/>
      <c r="D99" s="2"/>
      <c r="E99" s="2"/>
      <c r="F99" s="2"/>
      <c r="G99" s="2"/>
      <c r="H99" s="2"/>
      <c r="I99" s="2"/>
      <c r="J99" s="2"/>
      <c r="K99" s="2"/>
      <c r="L99" s="2"/>
      <c r="M99" s="2"/>
      <c r="N99" s="2"/>
      <c r="O99" s="2"/>
      <c r="P99" s="1"/>
    </row>
    <row r="100" spans="1:16" x14ac:dyDescent="0.35">
      <c r="A100" s="2"/>
      <c r="B100" s="2"/>
      <c r="C100" s="2"/>
      <c r="D100" s="2"/>
      <c r="E100" s="2"/>
      <c r="F100" s="2"/>
      <c r="G100" s="2"/>
      <c r="H100" s="2"/>
      <c r="I100" s="2"/>
      <c r="J100" s="2"/>
      <c r="K100" s="2"/>
      <c r="L100" s="2"/>
      <c r="M100" s="2"/>
      <c r="N100" s="2"/>
      <c r="O100" s="2"/>
      <c r="P100" s="1"/>
    </row>
    <row r="101" spans="1:16" x14ac:dyDescent="0.35">
      <c r="A101" s="2"/>
      <c r="B101" s="2"/>
      <c r="C101" s="2"/>
      <c r="D101" s="2"/>
      <c r="E101" s="2"/>
      <c r="F101" s="2"/>
      <c r="G101" s="2"/>
      <c r="H101" s="2"/>
      <c r="I101" s="2"/>
      <c r="J101" s="2"/>
      <c r="K101" s="2"/>
      <c r="L101" s="2"/>
      <c r="M101" s="2"/>
      <c r="N101" s="2"/>
      <c r="O101" s="2"/>
      <c r="P101" s="1"/>
    </row>
    <row r="102" spans="1:16" x14ac:dyDescent="0.35">
      <c r="A102" s="2"/>
      <c r="B102" s="2"/>
      <c r="C102" s="2"/>
      <c r="D102" s="2"/>
      <c r="E102" s="2"/>
      <c r="F102" s="2"/>
      <c r="G102" s="2"/>
      <c r="H102" s="2"/>
      <c r="I102" s="2"/>
      <c r="J102" s="2"/>
      <c r="K102" s="2"/>
      <c r="L102" s="2"/>
      <c r="M102" s="2"/>
      <c r="N102" s="2"/>
      <c r="O102" s="2"/>
      <c r="P102" s="1"/>
    </row>
    <row r="103" spans="1:16" x14ac:dyDescent="0.35">
      <c r="A103" s="2"/>
      <c r="B103" s="2"/>
      <c r="C103" s="2"/>
      <c r="D103" s="2"/>
      <c r="E103" s="2"/>
      <c r="F103" s="2"/>
      <c r="G103" s="2"/>
      <c r="H103" s="2"/>
      <c r="I103" s="2"/>
      <c r="J103" s="2"/>
      <c r="K103" s="2"/>
      <c r="L103" s="2"/>
      <c r="M103" s="2"/>
      <c r="N103" s="2"/>
      <c r="O103" s="2"/>
      <c r="P103" s="1"/>
    </row>
    <row r="104" spans="1:16" x14ac:dyDescent="0.35">
      <c r="A104" s="2"/>
      <c r="B104" s="2"/>
      <c r="C104" s="2"/>
      <c r="D104" s="2"/>
      <c r="E104" s="2"/>
      <c r="F104" s="2"/>
      <c r="G104" s="2"/>
      <c r="H104" s="2"/>
      <c r="I104" s="2"/>
      <c r="J104" s="2"/>
      <c r="K104" s="2"/>
      <c r="L104" s="2"/>
      <c r="M104" s="2"/>
      <c r="N104" s="2"/>
      <c r="O104" s="2"/>
      <c r="P104" s="1"/>
    </row>
    <row r="105" spans="1:16" x14ac:dyDescent="0.35">
      <c r="A105" s="2"/>
      <c r="B105" s="2"/>
      <c r="C105" s="2"/>
      <c r="D105" s="2"/>
      <c r="E105" s="2"/>
      <c r="F105" s="2"/>
      <c r="G105" s="2"/>
      <c r="H105" s="2"/>
      <c r="I105" s="2"/>
      <c r="J105" s="2"/>
      <c r="K105" s="2"/>
      <c r="L105" s="2"/>
      <c r="M105" s="2"/>
      <c r="N105" s="2"/>
      <c r="O105" s="2"/>
      <c r="P105" s="1"/>
    </row>
    <row r="106" spans="1:16" x14ac:dyDescent="0.35">
      <c r="A106" s="2"/>
      <c r="B106" s="2"/>
      <c r="C106" s="2"/>
      <c r="D106" s="2"/>
      <c r="E106" s="2"/>
      <c r="F106" s="2"/>
      <c r="G106" s="2"/>
      <c r="H106" s="2"/>
      <c r="I106" s="2"/>
      <c r="J106" s="2"/>
      <c r="K106" s="2"/>
      <c r="L106" s="2"/>
      <c r="M106" s="2"/>
      <c r="N106" s="2"/>
      <c r="O106" s="2"/>
      <c r="P106" s="1"/>
    </row>
    <row r="107" spans="1:16" x14ac:dyDescent="0.35">
      <c r="A107" s="2"/>
      <c r="B107" s="2"/>
      <c r="C107" s="2"/>
      <c r="D107" s="2"/>
      <c r="E107" s="2"/>
      <c r="F107" s="2"/>
      <c r="G107" s="2"/>
      <c r="H107" s="2"/>
      <c r="I107" s="2"/>
      <c r="J107" s="2"/>
      <c r="K107" s="2"/>
      <c r="L107" s="2"/>
      <c r="M107" s="2"/>
      <c r="N107" s="2"/>
      <c r="O107" s="2"/>
      <c r="P107" s="1"/>
    </row>
    <row r="108" spans="1:16" x14ac:dyDescent="0.35">
      <c r="A108" s="2"/>
      <c r="B108" s="2"/>
      <c r="C108" s="2"/>
      <c r="D108" s="2"/>
      <c r="E108" s="2"/>
      <c r="F108" s="2"/>
      <c r="G108" s="2"/>
      <c r="H108" s="2"/>
      <c r="I108" s="2"/>
      <c r="J108" s="2"/>
      <c r="K108" s="2"/>
      <c r="L108" s="2"/>
      <c r="M108" s="2"/>
      <c r="N108" s="2"/>
      <c r="O108" s="2"/>
      <c r="P108" s="1"/>
    </row>
    <row r="109" spans="1:16" x14ac:dyDescent="0.35">
      <c r="A109" s="2"/>
      <c r="B109" s="2"/>
      <c r="C109" s="2"/>
      <c r="D109" s="2"/>
      <c r="E109" s="2"/>
      <c r="F109" s="2"/>
      <c r="G109" s="2"/>
      <c r="H109" s="2"/>
      <c r="I109" s="2"/>
      <c r="J109" s="2"/>
      <c r="K109" s="2"/>
      <c r="L109" s="2"/>
      <c r="M109" s="2"/>
      <c r="N109" s="2"/>
      <c r="O109" s="2"/>
      <c r="P109" s="1"/>
    </row>
    <row r="110" spans="1:16" x14ac:dyDescent="0.35">
      <c r="A110" s="2"/>
      <c r="B110" s="2"/>
      <c r="C110" s="2"/>
      <c r="D110" s="2"/>
      <c r="E110" s="2"/>
      <c r="F110" s="2"/>
      <c r="G110" s="2"/>
      <c r="H110" s="2"/>
      <c r="I110" s="2"/>
      <c r="J110" s="2"/>
      <c r="K110" s="2"/>
      <c r="L110" s="2"/>
      <c r="M110" s="2"/>
      <c r="N110" s="2"/>
      <c r="O110" s="2"/>
      <c r="P110" s="1"/>
    </row>
    <row r="111" spans="1:16" x14ac:dyDescent="0.35">
      <c r="A111" s="2"/>
      <c r="B111" s="2"/>
      <c r="C111" s="2"/>
      <c r="D111" s="2"/>
      <c r="E111" s="2"/>
      <c r="F111" s="2"/>
      <c r="G111" s="2"/>
      <c r="H111" s="2"/>
      <c r="I111" s="2"/>
      <c r="J111" s="2"/>
      <c r="K111" s="2"/>
      <c r="L111" s="2"/>
      <c r="M111" s="2"/>
      <c r="N111" s="2"/>
      <c r="O111" s="2"/>
      <c r="P111" s="1"/>
    </row>
    <row r="112" spans="1:16" x14ac:dyDescent="0.35">
      <c r="A112" s="2"/>
      <c r="B112" s="2"/>
      <c r="C112" s="2"/>
      <c r="D112" s="2"/>
      <c r="E112" s="2"/>
      <c r="F112" s="2"/>
      <c r="G112" s="2"/>
      <c r="H112" s="2"/>
      <c r="I112" s="2"/>
      <c r="J112" s="2"/>
      <c r="K112" s="2"/>
      <c r="L112" s="2"/>
      <c r="M112" s="2"/>
      <c r="N112" s="2"/>
      <c r="O112" s="2"/>
      <c r="P112" s="1"/>
    </row>
    <row r="113" spans="1:16" x14ac:dyDescent="0.35">
      <c r="A113" s="2"/>
      <c r="B113" s="2"/>
      <c r="C113" s="2"/>
      <c r="D113" s="2"/>
      <c r="E113" s="2"/>
      <c r="F113" s="2"/>
      <c r="G113" s="2"/>
      <c r="H113" s="2"/>
      <c r="I113" s="2"/>
      <c r="J113" s="2"/>
      <c r="K113" s="2"/>
      <c r="L113" s="2"/>
      <c r="M113" s="2"/>
      <c r="N113" s="2"/>
      <c r="O113" s="2"/>
      <c r="P113" s="1"/>
    </row>
    <row r="114" spans="1:16" x14ac:dyDescent="0.35">
      <c r="A114" s="2"/>
      <c r="B114" s="2"/>
      <c r="C114" s="2"/>
      <c r="D114" s="2"/>
      <c r="E114" s="2"/>
      <c r="F114" s="2"/>
      <c r="G114" s="2"/>
      <c r="H114" s="2"/>
      <c r="I114" s="2"/>
      <c r="J114" s="2"/>
      <c r="K114" s="2"/>
      <c r="L114" s="2"/>
      <c r="M114" s="2"/>
      <c r="N114" s="2"/>
      <c r="O114" s="2"/>
      <c r="P114" s="1"/>
    </row>
    <row r="115" spans="1:16" x14ac:dyDescent="0.35">
      <c r="A115" s="2"/>
      <c r="B115" s="2"/>
      <c r="C115" s="2"/>
      <c r="D115" s="2"/>
      <c r="E115" s="2"/>
      <c r="F115" s="2"/>
      <c r="G115" s="2"/>
      <c r="H115" s="2"/>
      <c r="I115" s="2"/>
      <c r="J115" s="2"/>
      <c r="K115" s="2"/>
      <c r="L115" s="2"/>
      <c r="M115" s="2"/>
      <c r="N115" s="2"/>
      <c r="O115" s="2"/>
      <c r="P115" s="1"/>
    </row>
    <row r="116" spans="1:16" x14ac:dyDescent="0.35">
      <c r="A116" s="1"/>
      <c r="B116" s="1"/>
      <c r="C116" s="1"/>
      <c r="D116" s="1"/>
      <c r="E116" s="1"/>
      <c r="F116" s="1"/>
      <c r="G116" s="1"/>
      <c r="H116" s="1"/>
      <c r="I116" s="1"/>
      <c r="J116" s="1"/>
      <c r="K116" s="1"/>
      <c r="L116" s="1"/>
      <c r="M116" s="1"/>
      <c r="N116" s="1"/>
      <c r="O116" s="1"/>
      <c r="P116" s="1"/>
    </row>
    <row r="117" spans="1:16" x14ac:dyDescent="0.35">
      <c r="A117" s="1"/>
      <c r="B117" s="1"/>
      <c r="C117" s="1"/>
      <c r="D117" s="1"/>
      <c r="E117" s="1"/>
      <c r="F117" s="1"/>
      <c r="G117" s="1"/>
      <c r="H117" s="1"/>
      <c r="I117" s="1"/>
      <c r="J117" s="1"/>
      <c r="K117" s="1"/>
      <c r="L117" s="1"/>
      <c r="M117" s="1"/>
      <c r="N117" s="1"/>
      <c r="O117" s="1"/>
      <c r="P117" s="1"/>
    </row>
    <row r="118" spans="1:16" x14ac:dyDescent="0.35">
      <c r="A118" s="1"/>
      <c r="B118" s="1"/>
      <c r="C118" s="1"/>
      <c r="D118" s="1"/>
      <c r="E118" s="1"/>
      <c r="F118" s="1"/>
      <c r="G118" s="1"/>
      <c r="H118" s="1"/>
      <c r="I118" s="1"/>
      <c r="J118" s="1"/>
      <c r="K118" s="1"/>
      <c r="L118" s="1"/>
      <c r="M118" s="1"/>
      <c r="N118" s="1"/>
      <c r="O118" s="1"/>
      <c r="P118" s="1"/>
    </row>
    <row r="119" spans="1:16" x14ac:dyDescent="0.35">
      <c r="A119" s="1"/>
      <c r="B119" s="1"/>
      <c r="C119" s="1"/>
      <c r="D119" s="1"/>
      <c r="E119" s="1"/>
      <c r="F119" s="1"/>
      <c r="G119" s="1"/>
      <c r="H119" s="1"/>
      <c r="I119" s="1"/>
      <c r="J119" s="1"/>
      <c r="K119" s="1"/>
      <c r="L119" s="1"/>
      <c r="M119" s="1"/>
      <c r="N119" s="1"/>
      <c r="O119" s="1"/>
      <c r="P119" s="1"/>
    </row>
  </sheetData>
  <sheetProtection algorithmName="SHA-512" hashValue="SCpSVANnJc1kUqMAn1gj/+K1RuaR27goCJWDVnWr7lIo0aihlA6FU+FXJx1xMNboG77m5Zn3Bq28h8/iKrfqRQ==" saltValue="qXcnHryOMvmiEcRnrVEYASZ21/wzCYiMeF+VQKHH27ewpWJk3g2aVXE2PNGQ5IzcCG7dFycK+/YWec3okGLr7NXIqURETCl3Df9F3OsgNP/wEhZ1nV4ALc3iKTGvehee3XfPyNZ+tKy8VT+hysfFvmv6gPZ7G9B1TY6TgO5YnAPGCbUXMdGEpKdlYFUNXkkrrcXypY8RIK8ct8gkpLgJ0hE5o82KtHfZKCrOgyaJQTQ4bohu+KRirL04mRAb5mYjHolKV91alOcJLms/jzNhE9HEf7OntySy94fD7PRNoBUN7V+6zvhLeQutL4g0UsvdZJFv2JWXrvHzhdrv60AMKhNKqLbVqLKMX/iKnMZwaRTrtWhgiGvMHbbvAN+I/s4TORJR5PPqRzabe3xJEl7M5xMkaQljRbPOFdILjvNndlaPSd2YSkqbnlT9eXRpWV4jb291T/yIx9zm/Yr20QnqhMF7KA7LUW7aGfSOZd+0LypzB28cyXuQnoBNs1dU6eEiodU6GKGO504xn4WZ3Dpfrnwm9j5loFP1/PtcCopJUVqubJBLzqpgov8PvDDwNompGz/FwewSVjvh5a8YjvbKrDMqMqMc9lUPWIBK1eX4EahsYG/bovdSJrdABb91uvJG4G0uH3FnaK6wWnx0cLTTnoNqeHPrsH0sNE5tRspyCbzgC7yaS2t07CZzTqdFmAtCsnEETG6/1NdC8E7Z2g5W3IXqnWDnD0dJ9jXr4qddlOL41Dk6u4fxNn3mBHjTXT49v0rN9vcEMPfIhnpEa+hkfkfbYyBhYXwGU5afwSR8/eKuxRWU2LVvN4RN70SSs3yq6hCMP1hr7/towyXLXRR67DFXnZFA6w7Zq2Uy0PXX9ubJPEfGlbt0nD1qVGwn9sQPcl0n/VX2mLE9+TqZT/nuaJ3Cd2nJKpgTy1EUlV1e48PuSaJkJxIe4vPU6rLbKXoW83/PqcuPWKCFb5MvlGjhiCp5LM/aEedFxVRiO1rgavkUNQzYMvnmzLcno7K4ySAwFGBy8Pco0G2CQjP/W1a3bzwYAAtCETvA0MlvhWo4o8p71lCvxW3KRE+DHnAJ8/ply+/pVhehlqVGYgeftoeKllQCEjqMWSo9c5cRx2L2UvYrhg0mpGCA5kyjWwgVypYG4TaVZ6YVkvRgvqzr1vTm+Cti+Nkhc6+1GfQ7frVsqYi35rx4wD+D8GpwtHeE7JFgxo+8JUZy/G/puCI/7lQcRW82JIYKQn5+EgbF2vD4l9XrdRz5QEjpL7atWuyRG7Ra8xv7aSgwWfN0lCNnu4/H3RamIH7m1koRTXh+hyBmGyVabtrzaf7He/gPMtjkedf5XDD+Ux4cswQpTDxX9S2BqeSv+MCOKei3Y8Wi9hJQuQocqw2VdoOwB31Hw4QLwsuc++IXIGlcuBo9UG4vpkPIufKAWAvdeAlmvNgPbuGSOBNVfVG3QB1Yzop3tOrGNbDPOUTsMOczYc2WWHh9E6FzvmWV8gRBpW+NbxKQ0XlisExFUL44k970hd/GrIl2UmqDtmZJXAM/2Oe69xNvCwaQnZz9P53FzOpNi9okFzcjmkG/aK+FKf+7dAMLprQjeMcHyrwuWRxOn3q2IM2s2KqLKCa7XqCcGJut4Q10UxnfGX8YIULhLKocAp09pgQqJCS2LZaIXGviS9/Z9+1PQ52XpaquDx56tR28xuSZKgU9WmkduoEuuMkUr6L5eZm9TQOWkre77qtI/yIBT26BSnMbit/O6mRRXcDjd/gjCzE7bTv3ToQLRXDXbhsO2dZq4uWx6xh/dCbbfdmieM/gnalKdP7jNImcyjNmZOwAFJkMj8AxdZIWJZqo9xS7n/kyOS5Rh4DnCD5ZWpEtECttZ1pLZPZ3DUUatjW0vEm6LBGUb0maK3rcZoYqZerd12h/UJoP6fD3wPBhudxVcbhBlP5rhSyxt84ZCHQTF36x9UEDmBaCUn89mNh2UWrVE6rq/CWRMFeBDpqXntLu/HXY3FXxNSyc4io7UbLe8NIwws+P62JM1iY8432p4c4KRxHGX5V8w+VUa0Wuo/5dOStNwnFdie9igDG5fER/cr9zpiozLX5Kd9KdmmdREr4hS8u6zALTT2YOFe+POm6sCGUW0jNxdXRXRFFzm/tYDjaO4Niutu1uJR+Zdd2KLVoZ/sVynInDatGsxdHnC5M+3IZm0E5YKRSQrqPYTTKRO0N/kna4r9/wUHL2C0o7jW4rz+5xidg02kuh+/hRNX8XiPvi5MoqdQuQW1Mc8tenoNwa5poNU9MKbOBxRcE1pZVrOqqFZ3ABcb88uLe3sTcvAccn+xbgALm5rux0hqptKrMxbBl/DZzmtAPMmo8dbilePorw4BrPXhwXutx7WtGnmRBdYpM+n0PKxDbeYJ3Zqvt6aym5BFLnh98bp2qQWciHec5Fk2U3L3UK+cPCYhthILEaOJW1M6icVcfOd/EgSRxyXr+q7V0VlGUGEON+3iIzxtCr8VupSe+nF9a+o3r5UKxO5ncAlXNe0lml7zZFV8U/YJY/DR5F4ysMuXOVKQHDd5Yxn8JBQjAXwzm1ABylZLNuhUf+h/iZbS0ObhoEC9r4M97mHC6Qc9fu7Rk4Q9JHwfC2JMqtqgFgCkYO9neQx37FXE8B8XzCYhdAdWy3dYf8AHkFBT7apDc+5sGqOl0InmRXX2ot46s6cIp6VUZWEu0ibr/3vbY8uZ47Qf6dlXuiGTakcgdCWC7ggfmTLn6jHDWgvC4Ioph/Zg8Jfg8YUEy6gi/9MtjrvJv0/COlsF90kvQPiebLqkpXl/H4a4w67iAXCwaNXdp3naLc+aYLDv9iKOSqx9CpJVcwdFUSgzGR3Q3NyjGL3ajs1wcRLG2lPiH10t7kTFq6UiVF/CiM6oZI6Ga4fSxI67xrLYz6eMusUaR0MCSQUiFz8kA1S+e/dYhCXQZjLZRnv9JLGF2zg+uD57CRtvVHiruVMPTbzTLYmqz1hZdBHH7Fu6LqF9rZVxn+oJKoZeOW07OJZ6W74nzMdmhFGTeUbdFUK/Xhk/kCfI+W4JGJ0Y5pfkyvv0209WHv1VfheUXpb96HSdCVdw18lFDZPZrylOWTMR03LHpHtwvpSfGWWx6q9nlHXIgPH3Ot6kHsf4GFsWOEiMNu9+QMrLq1Ps0ChMr859bEMMLz9jdAO3SRhl2tZAgltHwFsKEmAtAvRZTEtJhWmNr0Pcc1+NkgP+q6nTQkNB+W1kVosJz2VX8Itsqx1J8Vnog69zGInkAyH3MBpR5aCxz/5CudkXTBRF8o/1ZTWitUgfDiBp/F4vA+EubbPxu3dfNNjzQqh6LK0iaR9f2LXbPNwJmxgt9ipw9+oHcvASrhqPLSgDePsPa88TM1eYH+fl1jENWqlU74NTrLnLnnccitpqAE4V9QUglmBWsxP61caJZ10YADNOETvAbrxJ77nJGZo4MiD2z7FO8tGDjpDi5LLJJKjneWx6cBD6CEkCeqfwf+SoNqBIaJt0u/24SUjgLcLpFU4OzW6lUZAQiFLUIQkC7oPnvvjf0GqxKziv3DnCuWfNEzAWubD1konUPaJNr4BIvNNIEDMxCS3wO0UDjjC9owZ7LZGGHBwhubKFliuNDNTb31cE246SKSfRaOwlojePQ6KwfD1rNidp+0znwzRTLC+RRE1fLHHQuqk1ffkcNh7nkrk8UJRPIdWDb6Vhf2QpulQ+HOGA+gYyOZWBjxlDV8NZD7wa4Pj6Ms6KOLwLgiU+J6DU+pW1Z+avCle5i70FocBWl32eWGA5cuDPAy4mokkcpPChRwG7wYGvJHIh0H5PcqAtcVQKkbjdfaW25zAHy23Rm9N4Q2vlPLMjknetYTvE4gzjHPeVntj0PNjE1HYWvDakaC+9UtREEqxYAB1GqhZFfkKmMHMfNhLtPSFplbmVhjk2meN5fxVnYCh2KdJi9TrB7JXcSqLUC7G9FDNG5Dq7RjHJpooLaPYf6ACAk+QCLfElFTA6xzI5qgJnadpQ06N6sg45lRJVx8dkxyZlVj7/dYGLI8zwFOU1Iy6mrJ/thmVx6/uxgSquRgHXZfOdYZZ8BJVSNGvw3pUY5YSD1vUDdqy0BriF1kgRrNc0XR7mTcAmcnk/IinRtyqDdXdLAPTIgmez25e+Ba5mxcInQrRlune9H1P9O60KmOi/QXSb9eZDrXsZucdjLqS0S5imQk2T8LPRX2YC163p6KNFVo4gGhiRjro8y5wOHAQd5LSH1qUfBdvWXfkDJgGjuZXoqJN6lE5QqL1UQZ911tR4yUIcM3X3Pn4r/ZUZop1FXtzSn79EFT18yYE+5T03TWh3MiqDP7OMNumIaOOsyKA1RdnieMnJ1Jse4D2NDbTB4ACxhw5V4qBWGdYi90B079T/6UC0KlDqjIZi15v4uku8WCxmSLZw01eYCbL9JtaQNo34lD5IQS1CJ9ju7n92A/pDvGmUuweknHYyjU/9aUWzOw+sYry744qjBzEKDzaics45QaaI+MgLA/NP0pEXsLK8xSSUGtPnDiHXV+AQf93aG+1Dw5CZQfk4IKg5QG1hmBsMFWHkePOQ+A2dNL8aPvNnRZnfKz9F/vU8eMFVMR0b+Wqv+zFu5IxLCLpBqlFCo8wr31nYcNWdS/pnUYj+di3a0f6NO0Tk9Dmb/775NFFDq7b9IwwTBkQtEoq/1eB50FKfjdIVd4w4VJbskR5yQaa/ZmOeoYk0QrkAius5fQsLbicL2O9DayOELLEHZpXuclb4+QGk+AdcpXiPfJrNan5tXVEGDovvXM2RTCOeRv+VHerBqouiiQ554WAkXIQ0n27kwsUEHhxw4BgS7hMg1E3heoo/lY1I7eSxtxbO1bfTkZ8ar627COjCNlOdSrBGTPQYsDVmjOIQ0bWpU41M5v98kfysaHEdxJ/LBDLMOadFKotPz88l1gx5NysWfXUOfJPtkBBfp5O51WFufAByFLFJ+u4p/d60bUURuhhvqv3XvVG4BoGWhrfkmbrerV8uqBD9ZIBvtiB52fk9OXVj0scnygUA7hgrMsFMODd3V9mRrylZMf3jPhFd/n97zWhfYtrCjVzxQ+g84nQSRwXYuNDBpOZvc/FKbH7k5U3tMe7WYsiwUhnPKs6GtcYRnOdFfeiVXx7BX2ki9YC+JV4c7AFE6FrLqFJo+Dp1IM3iewYKE/5A8PqCL2twx1T/1p3WqKLBAvrc4qTWYT0j3NJSeWJvLzmMThmca1Yp8wq6u8LHLdBHt92hX+loiQJTiGP7g8WRb5WI8UgTk82B1/lqAH+GKsnekOExVy2gsbk1GBS/4pxkmQYJYtS99vnBrk+eujnh8/1lJaXPVdX9ypygROX5d6WMiND4HD0o2PVZM6/B+K0xawmWFic1bXk+OmxlZYQ7hF3Ww1+bzOak+7mcY25A+FQ49ZtNMANHQI2KWk+hyVsbLeZeIWQBccRjnbIcwsEKlRBKbLDvEaPwhDFmifx2Ob+I7y7ZXuC4rnG/teMXZ0AjluVoArr3UzcRFiU+370DYNlCslv8x5ZY5GWULNsSFmip3HxmNI52tVgOiGheVlQfQYjreT2iVrX5JymLWKpBctcgIg4cWN5vtNcJrIiTVUQhQvIlpv/Kd1CgLAtZOUjjvKTIYdmK+t8miLkKND2AchNU9xiwN7u+bj3NcuQYAvV49DT4ihsZH+DGMMuRYmtcUJVd0HMQ012cOHvGFI05EsUAm0Oo5Zv2hzjkY/8pAa8qag3wnZDV4IzoOLzu1zhzc+U9dijemL3GuMm2Crrk+tMTtjEajZWXOo27TITDAdhoQPxDcS6KTy4O8LReC5NXfGvCBbrjfDHzutZopRaSoy2hEuSFZZwdEUVAwYYylrbO6OqTf1UA1j33gVWGRNA5uMnizYzETHb0D8FDpiDUa0XlBHaw00smAqi9I9wdHmUklDLxI1E9O4MjGKBMMoS3ag3t3mzwTcKCM8eAQXYUxTkefu1YvPo7b1ZOdUr9pLVdnZRv/pfPozGUpqmp2wke1F1IuLHTo0V6pei+dGdG9Ynl4z7Rfw/K1RYp9+p13vZuDRd0MmBjoSSlnUXMobzUVTeN/kLkRNm+dW4Tf5LWSVEfjhPKgBHO5iIHA1RYNgl7ooe/Iam+O32N0LHoLkI02K+NVoC6/IKd/rFtWFfoewRs2MgIOqXmpKds3DqWvtEVoLGoOSNldZjG3KpLS3vBWwEwvCi+v7M9IrBAekOFFaqBvpbWMU78b1pxoO1W93RIZVZrLw+Iedp9ezfHQHfEeCaonNKqPtFVmzz8WGL30sSPvPTP8U+mNE8lhnLR5tOepXJSf+NpdswyfuibYQPHCh456E46r+el6ZrMts2Mx47gOfQGGhVUrKT0beiJjNBOvtcf4RQr7GDhAB0VnfPEpZwk1Ohetv6ZDKk4Ad0Q8FBZbRiaRhYQhOy0zXQd8BNwHPv/QXg0uhBHYjuWpjDuwhdAc8QsuJMeo2NyAKQdq0r/Kq2FJSKhOR4/4GZkRNGvGFYEXq9Racz4NEwFMSmRJ5enl9psmS5k4+mh7i6aDys0oLOom6pZtNV5RosUJV/fbicTL2JAYlOBRxhEwYy+rVUA5d+gU+/T8WQHbbtf9NFLQkAoMsI5/EKyVvkhooiT0Sxy4QwYMfdwXpgNGG/FFqFFUjng1wzC0=" spinCount="10000000" sheet="1" objects="1" scenarios="1" selectLockedCells="1"/>
  <mergeCells count="8">
    <mergeCell ref="G33:H33"/>
    <mergeCell ref="J33:K33"/>
    <mergeCell ref="L33:M33"/>
    <mergeCell ref="P2:R2"/>
    <mergeCell ref="F31:M31"/>
    <mergeCell ref="G32:H32"/>
    <mergeCell ref="J32:K32"/>
    <mergeCell ref="L32:M32"/>
  </mergeCells>
  <phoneticPr fontId="3" type="noConversion"/>
  <conditionalFormatting sqref="B42:B47 C43:F47">
    <cfRule type="expression" dxfId="51" priority="1" stopIfTrue="1">
      <formula>$B$85</formula>
    </cfRule>
  </conditionalFormatting>
  <pageMargins left="0.25" right="0.25" top="0.75" bottom="0.75" header="0.3" footer="0.3"/>
  <pageSetup paperSize="9"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autoPageBreaks="0" fitToPage="1"/>
  </sheetPr>
  <dimension ref="A1:N104"/>
  <sheetViews>
    <sheetView showGridLines="0" showRowColHeaders="0" tabSelected="1" zoomScale="70" zoomScaleNormal="70" workbookViewId="0">
      <selection activeCell="D52" sqref="D52"/>
    </sheetView>
  </sheetViews>
  <sheetFormatPr defaultColWidth="8.86328125" defaultRowHeight="12.75" x14ac:dyDescent="0.35"/>
  <cols>
    <col min="1" max="1" width="1.73046875" style="109" customWidth="1"/>
    <col min="2" max="2" width="6.1328125" style="109" customWidth="1"/>
    <col min="3" max="3" width="2.3984375" style="109" customWidth="1"/>
    <col min="4" max="4" width="161.86328125" style="109" customWidth="1"/>
    <col min="5" max="16384" width="8.86328125" style="109"/>
  </cols>
  <sheetData>
    <row r="1" spans="1:5" ht="167.1" customHeight="1" x14ac:dyDescent="0.35">
      <c r="A1" s="123"/>
    </row>
    <row r="2" spans="1:5" ht="39.950000000000003" customHeight="1" x14ac:dyDescent="0.35">
      <c r="A2" s="441" t="s">
        <v>361</v>
      </c>
      <c r="B2" s="441"/>
      <c r="C2" s="441"/>
      <c r="D2" s="441"/>
      <c r="E2" s="123"/>
    </row>
    <row r="3" spans="1:5" ht="17.649999999999999" x14ac:dyDescent="0.5">
      <c r="A3" s="307"/>
      <c r="B3" s="309" t="s">
        <v>57</v>
      </c>
      <c r="C3" s="309"/>
      <c r="D3" s="310"/>
    </row>
    <row r="4" spans="1:5" ht="17.25" x14ac:dyDescent="0.45">
      <c r="B4" s="320"/>
      <c r="C4" s="311"/>
      <c r="D4" s="311"/>
    </row>
    <row r="5" spans="1:5" ht="17.25" x14ac:dyDescent="0.45">
      <c r="B5" s="320"/>
      <c r="C5" s="311"/>
      <c r="D5" s="311"/>
    </row>
    <row r="6" spans="1:5" ht="17.649999999999999" x14ac:dyDescent="0.5">
      <c r="B6" s="320"/>
      <c r="D6" s="312" t="s">
        <v>409</v>
      </c>
    </row>
    <row r="7" spans="1:5" s="308" customFormat="1" ht="51.75" x14ac:dyDescent="0.35">
      <c r="B7" s="313">
        <v>1</v>
      </c>
      <c r="C7" s="314"/>
      <c r="D7" s="315" t="s">
        <v>371</v>
      </c>
    </row>
    <row r="8" spans="1:5" ht="34.5" x14ac:dyDescent="0.35">
      <c r="B8" s="313">
        <v>2</v>
      </c>
      <c r="C8" s="313"/>
      <c r="D8" s="315" t="s">
        <v>61</v>
      </c>
    </row>
    <row r="9" spans="1:5" ht="17.25" x14ac:dyDescent="0.45">
      <c r="B9" s="313" t="str">
        <f>IF(AND(ISBLANK(C9),ISBLANK(D9)=FALSE),MAX(B8:B$8)+1,"")</f>
        <v/>
      </c>
      <c r="C9" s="313"/>
      <c r="D9" s="311"/>
    </row>
    <row r="10" spans="1:5" ht="17.649999999999999" x14ac:dyDescent="0.5">
      <c r="B10" s="313" t="str">
        <f>IF(AND(ISBLANK(D10),ISBLANK(#REF!)=FALSE),MAX(B$8:B9)+1,"")</f>
        <v/>
      </c>
      <c r="D10" s="312" t="s">
        <v>49</v>
      </c>
    </row>
    <row r="11" spans="1:5" ht="34.5" x14ac:dyDescent="0.35">
      <c r="B11" s="313">
        <f>IF(AND(ISBLANK(C11),ISBLANK(D11)=FALSE),MAX(B$8:B10)+1,"")</f>
        <v>3</v>
      </c>
      <c r="C11" s="314"/>
      <c r="D11" s="315" t="s">
        <v>358</v>
      </c>
    </row>
    <row r="12" spans="1:5" ht="43.5" customHeight="1" x14ac:dyDescent="0.35">
      <c r="B12" s="313">
        <f>IF(AND(ISBLANK(C12),ISBLANK(D12)=FALSE),MAX(B$8:B11)+1,"")</f>
        <v>4</v>
      </c>
      <c r="C12" s="314"/>
      <c r="D12" s="315" t="s">
        <v>359</v>
      </c>
    </row>
    <row r="13" spans="1:5" ht="17.25" x14ac:dyDescent="0.35">
      <c r="B13" s="313">
        <f>IF(AND(ISBLANK(C13),ISBLANK(D13)=FALSE),MAX(B$8:B12)+1,"")</f>
        <v>5</v>
      </c>
      <c r="C13" s="314"/>
      <c r="D13" s="315" t="s">
        <v>248</v>
      </c>
    </row>
    <row r="14" spans="1:5" ht="17.25" x14ac:dyDescent="0.35">
      <c r="B14" s="313" t="str">
        <f>IF(AND(ISBLANK(C14),ISBLANK(D14)=FALSE),MAX(B$8:B13)+1,"")</f>
        <v/>
      </c>
      <c r="C14" s="314"/>
      <c r="D14" s="315"/>
    </row>
    <row r="15" spans="1:5" ht="17.649999999999999" x14ac:dyDescent="0.35">
      <c r="B15" s="313"/>
      <c r="D15" s="316" t="s">
        <v>79</v>
      </c>
    </row>
    <row r="16" spans="1:5" ht="17.649999999999999" x14ac:dyDescent="0.35">
      <c r="B16" s="313">
        <f>IF(AND(ISBLANK(C16),ISBLANK(D16)=FALSE),MAX(B$8:B15)+1,"")</f>
        <v>6</v>
      </c>
      <c r="C16" s="316"/>
      <c r="D16" s="315" t="s">
        <v>249</v>
      </c>
    </row>
    <row r="17" spans="2:4" ht="17.649999999999999" x14ac:dyDescent="0.35">
      <c r="B17" s="313"/>
      <c r="C17" s="316"/>
      <c r="D17" s="317" t="s">
        <v>244</v>
      </c>
    </row>
    <row r="18" spans="2:4" ht="17.649999999999999" x14ac:dyDescent="0.35">
      <c r="B18" s="313"/>
      <c r="C18" s="316"/>
      <c r="D18" s="318" t="s">
        <v>250</v>
      </c>
    </row>
    <row r="19" spans="2:4" ht="17.649999999999999" x14ac:dyDescent="0.35">
      <c r="B19" s="313" t="str">
        <f>IF(AND(ISBLANK(C19),ISBLANK(D19)=FALSE),MAX(B$8:B18)+1,"")</f>
        <v/>
      </c>
      <c r="C19" s="316"/>
      <c r="D19" s="315"/>
    </row>
    <row r="20" spans="2:4" ht="17.649999999999999" x14ac:dyDescent="0.35">
      <c r="B20" s="313"/>
      <c r="D20" s="316" t="s">
        <v>66</v>
      </c>
    </row>
    <row r="21" spans="2:4" ht="34.5" x14ac:dyDescent="0.35">
      <c r="B21" s="313">
        <f>IF(AND(ISBLANK(C21),ISBLANK(D21)=FALSE),MAX(B$8:B20)+1,"")</f>
        <v>7</v>
      </c>
      <c r="C21" s="316"/>
      <c r="D21" s="315" t="s">
        <v>360</v>
      </c>
    </row>
    <row r="22" spans="2:4" ht="51.75" customHeight="1" x14ac:dyDescent="0.35">
      <c r="B22" s="313">
        <f>IF(AND(ISBLANK(C22),ISBLANK(D22)=FALSE),MAX(B$8:B21)+1,"")</f>
        <v>8</v>
      </c>
      <c r="C22" s="316"/>
      <c r="D22" s="319" t="s">
        <v>372</v>
      </c>
    </row>
    <row r="23" spans="2:4" ht="84" customHeight="1" x14ac:dyDescent="0.35">
      <c r="B23" s="313">
        <f>IF(AND(ISBLANK(C23),ISBLANK(D23)=FALSE),MAX(B$8:B22)+1,"")</f>
        <v>9</v>
      </c>
      <c r="C23" s="316"/>
      <c r="D23" s="319" t="s">
        <v>362</v>
      </c>
    </row>
    <row r="24" spans="2:4" ht="52.15" x14ac:dyDescent="0.35">
      <c r="B24" s="313">
        <f>IF(AND(ISBLANK(C24),ISBLANK(D24)=FALSE),MAX(B$8:B23)+1,"")</f>
        <v>10</v>
      </c>
      <c r="C24" s="316"/>
      <c r="D24" s="319" t="s">
        <v>363</v>
      </c>
    </row>
    <row r="25" spans="2:4" ht="91.5" customHeight="1" x14ac:dyDescent="0.35">
      <c r="B25" s="313">
        <f>IF(AND(ISBLANK(C25),ISBLANK(D25)=FALSE),MAX(B$8:B24)+1,"")</f>
        <v>11</v>
      </c>
      <c r="C25" s="316"/>
      <c r="D25" s="319" t="s">
        <v>364</v>
      </c>
    </row>
    <row r="26" spans="2:4" ht="69.400000000000006" x14ac:dyDescent="0.35">
      <c r="B26" s="313">
        <f>IF(AND(ISBLANK(C26),ISBLANK(D26)=FALSE),MAX(B$8:B25)+1,"")</f>
        <v>12</v>
      </c>
      <c r="C26" s="316"/>
      <c r="D26" s="315" t="s">
        <v>373</v>
      </c>
    </row>
    <row r="27" spans="2:4" ht="17.649999999999999" x14ac:dyDescent="0.35">
      <c r="B27" s="313"/>
      <c r="C27" s="316"/>
      <c r="D27" s="315"/>
    </row>
    <row r="28" spans="2:4" ht="17.25" x14ac:dyDescent="0.45">
      <c r="B28" s="313" t="str">
        <f>IF(AND(ISBLANK(C28),ISBLANK(D28)=FALSE),MAX(B$8:B20)+1,"")</f>
        <v/>
      </c>
      <c r="C28" s="320"/>
      <c r="D28" s="311"/>
    </row>
    <row r="29" spans="2:4" ht="24.75" customHeight="1" x14ac:dyDescent="0.5">
      <c r="B29" s="313"/>
      <c r="D29" s="312" t="s">
        <v>374</v>
      </c>
    </row>
    <row r="30" spans="2:4" ht="51.75" x14ac:dyDescent="0.35">
      <c r="B30" s="313">
        <f>IF(AND(ISBLANK(C30),ISBLANK(D30)=FALSE),MAX(B$8:B29)+1,"")</f>
        <v>13</v>
      </c>
      <c r="C30" s="314"/>
      <c r="D30" s="315" t="s">
        <v>369</v>
      </c>
    </row>
    <row r="31" spans="2:4" ht="51.75" x14ac:dyDescent="0.35">
      <c r="B31" s="313">
        <f>IF(AND(ISBLANK(C31),ISBLANK(D31)=FALSE),MAX(B$8:B30)+1,"")</f>
        <v>14</v>
      </c>
      <c r="C31" s="320"/>
      <c r="D31" s="315" t="s">
        <v>375</v>
      </c>
    </row>
    <row r="32" spans="2:4" ht="17.25" x14ac:dyDescent="0.35">
      <c r="B32" s="313" t="str">
        <f>IF(AND(ISBLANK(C32),ISBLANK(D32)=FALSE),MAX(B$8:B31)+1,"")</f>
        <v/>
      </c>
      <c r="C32" s="320"/>
      <c r="D32" s="315"/>
    </row>
    <row r="33" spans="2:14" ht="17.25" x14ac:dyDescent="0.35">
      <c r="B33" s="313" t="str">
        <f>IF(AND(ISBLANK(C33),ISBLANK(D33)=FALSE),MAX(B$8:B32)+1,"")</f>
        <v/>
      </c>
      <c r="C33" s="320"/>
      <c r="D33" s="315"/>
      <c r="K33" s="123"/>
      <c r="L33" s="123"/>
      <c r="M33" s="123"/>
    </row>
    <row r="34" spans="2:14" ht="17.649999999999999" x14ac:dyDescent="0.5">
      <c r="B34" s="313"/>
      <c r="D34" s="312" t="s">
        <v>65</v>
      </c>
      <c r="K34" s="123"/>
      <c r="L34" s="123"/>
      <c r="M34" s="123"/>
    </row>
    <row r="35" spans="2:14" ht="51.75" x14ac:dyDescent="0.35">
      <c r="B35" s="313">
        <f>IF(AND(ISBLANK(C35),ISBLANK(D35)=FALSE),MAX(B$8:B34)+1,"")</f>
        <v>15</v>
      </c>
      <c r="C35" s="314"/>
      <c r="D35" s="315" t="s">
        <v>251</v>
      </c>
      <c r="K35" s="123"/>
      <c r="L35" s="123"/>
      <c r="M35" s="123"/>
    </row>
    <row r="36" spans="2:14" ht="17.25" x14ac:dyDescent="0.35">
      <c r="B36" s="313"/>
      <c r="C36" s="320"/>
      <c r="D36" s="321" t="s">
        <v>376</v>
      </c>
      <c r="K36" s="123"/>
      <c r="L36" s="123"/>
      <c r="M36" s="123"/>
    </row>
    <row r="37" spans="2:14" ht="17.25" x14ac:dyDescent="0.35">
      <c r="B37" s="313" t="str">
        <f>IF(AND(ISBLANK(C37),ISBLANK(D37)=FALSE),MAX(B$8:B36)+1,"")</f>
        <v/>
      </c>
      <c r="C37" s="320"/>
      <c r="D37" s="315"/>
      <c r="K37" s="123"/>
      <c r="L37" s="123"/>
      <c r="M37" s="123"/>
    </row>
    <row r="38" spans="2:14" ht="17.25" x14ac:dyDescent="0.35">
      <c r="B38" s="313" t="str">
        <f>IF(AND(ISBLANK(C38),ISBLANK(D38)=FALSE),MAX(B$8:B37)+1,"")</f>
        <v/>
      </c>
      <c r="C38" s="320"/>
      <c r="D38" s="315"/>
      <c r="K38" s="123"/>
      <c r="L38" s="123"/>
      <c r="M38" s="123"/>
    </row>
    <row r="39" spans="2:14" ht="17.649999999999999" x14ac:dyDescent="0.5">
      <c r="B39" s="313"/>
      <c r="D39" s="312" t="s">
        <v>377</v>
      </c>
      <c r="K39" s="123"/>
      <c r="L39" s="123"/>
      <c r="M39" s="123"/>
    </row>
    <row r="40" spans="2:14" ht="17.25" x14ac:dyDescent="0.35">
      <c r="B40" s="313">
        <f>IF(AND(ISBLANK(C40),ISBLANK(D40)=FALSE),MAX(B$8:B39)+1,"")</f>
        <v>16</v>
      </c>
      <c r="C40" s="314"/>
      <c r="D40" s="315" t="s">
        <v>50</v>
      </c>
      <c r="K40" s="123"/>
      <c r="L40" s="123"/>
      <c r="M40" s="123"/>
      <c r="N40" s="123"/>
    </row>
    <row r="41" spans="2:14" ht="17.25" x14ac:dyDescent="0.35">
      <c r="B41" s="313">
        <f>IF(AND(ISBLANK(C41),ISBLANK(D41)=FALSE),MAX(B$8:B40)+1,"")</f>
        <v>17</v>
      </c>
      <c r="C41" s="314"/>
      <c r="D41" s="315" t="s">
        <v>252</v>
      </c>
      <c r="K41" s="123"/>
      <c r="L41" s="123"/>
      <c r="M41" s="123"/>
      <c r="N41" s="123"/>
    </row>
    <row r="42" spans="2:14" ht="34.5" x14ac:dyDescent="0.35">
      <c r="B42" s="313">
        <f>IF(AND(ISBLANK(C42),ISBLANK(D42)=FALSE),MAX(B$8:B41)+1,"")</f>
        <v>18</v>
      </c>
      <c r="C42" s="314"/>
      <c r="D42" s="315" t="s">
        <v>245</v>
      </c>
      <c r="L42" s="123"/>
      <c r="M42" s="123"/>
      <c r="N42" s="123"/>
    </row>
    <row r="43" spans="2:14" ht="51" customHeight="1" x14ac:dyDescent="0.35">
      <c r="B43" s="313">
        <f>IF(AND(ISBLANK(C43),ISBLANK(D43)=FALSE),MAX(B$8:B42)+1,"")</f>
        <v>19</v>
      </c>
      <c r="C43" s="314"/>
      <c r="D43" s="315" t="s">
        <v>51</v>
      </c>
      <c r="L43" s="123"/>
      <c r="M43" s="123"/>
      <c r="N43" s="123"/>
    </row>
    <row r="44" spans="2:14" ht="17.25" x14ac:dyDescent="0.35">
      <c r="B44" s="313"/>
      <c r="C44" s="314"/>
      <c r="D44" s="315"/>
      <c r="L44" s="123"/>
      <c r="M44" s="123"/>
      <c r="N44" s="123"/>
    </row>
    <row r="45" spans="2:14" ht="17.25" x14ac:dyDescent="0.35">
      <c r="B45" s="313"/>
      <c r="C45" s="314"/>
      <c r="D45" s="315"/>
      <c r="L45" s="123"/>
      <c r="M45" s="123"/>
      <c r="N45" s="123"/>
    </row>
    <row r="46" spans="2:14" ht="17.649999999999999" x14ac:dyDescent="0.5">
      <c r="B46" s="313"/>
      <c r="D46" s="312" t="s">
        <v>378</v>
      </c>
      <c r="L46" s="123"/>
      <c r="M46" s="123"/>
      <c r="N46" s="123"/>
    </row>
    <row r="47" spans="2:14" ht="34.5" x14ac:dyDescent="0.35">
      <c r="B47" s="313">
        <f>IF(AND(ISBLANK(C47),ISBLANK(D47)=FALSE),MAX(B$8:B43)+1,"")</f>
        <v>20</v>
      </c>
      <c r="C47" s="314"/>
      <c r="D47" s="315" t="s">
        <v>379</v>
      </c>
      <c r="L47" s="123"/>
      <c r="M47" s="123"/>
      <c r="N47" s="123"/>
    </row>
    <row r="48" spans="2:14" ht="51.75" x14ac:dyDescent="0.35">
      <c r="B48" s="313">
        <f>IF(AND(ISBLANK(C48),ISBLANK(D48)=FALSE),MAX(B$8:B47)+1,"")</f>
        <v>21</v>
      </c>
      <c r="C48" s="314"/>
      <c r="D48" s="315" t="s">
        <v>246</v>
      </c>
      <c r="L48" s="123"/>
      <c r="M48" s="123"/>
      <c r="N48" s="123"/>
    </row>
    <row r="49" spans="2:14" ht="17.25" x14ac:dyDescent="0.35">
      <c r="B49" s="313">
        <f>IF(AND(ISBLANK(C49),ISBLANK(D49)=FALSE),MAX(B$8:B48)+1,"")</f>
        <v>22</v>
      </c>
      <c r="C49" s="314"/>
      <c r="D49" s="315" t="s">
        <v>380</v>
      </c>
      <c r="L49" s="123"/>
      <c r="M49" s="123"/>
      <c r="N49" s="123"/>
    </row>
    <row r="50" spans="2:14" ht="17.25" x14ac:dyDescent="0.35">
      <c r="B50" s="313" t="str">
        <f>IF(AND(ISBLANK(C50),ISBLANK(D50)=FALSE),MAX(B$8:B49)+1,"")</f>
        <v/>
      </c>
      <c r="C50" s="314"/>
      <c r="D50" s="322"/>
      <c r="L50" s="123"/>
      <c r="M50" s="123"/>
      <c r="N50" s="123"/>
    </row>
    <row r="51" spans="2:14" ht="17.25" x14ac:dyDescent="0.35">
      <c r="B51" s="313" t="str">
        <f>IF(AND(ISBLANK(C51),ISBLANK(D51)=FALSE),MAX(B$8:B50)+1,"")</f>
        <v/>
      </c>
      <c r="C51" s="314"/>
      <c r="D51" s="322"/>
      <c r="L51" s="123"/>
      <c r="M51" s="123"/>
      <c r="N51" s="123"/>
    </row>
    <row r="52" spans="2:14" ht="17.649999999999999" x14ac:dyDescent="0.5">
      <c r="B52" s="313"/>
      <c r="D52" s="312" t="s">
        <v>381</v>
      </c>
    </row>
    <row r="53" spans="2:14" ht="19.5" customHeight="1" x14ac:dyDescent="0.35">
      <c r="B53" s="313">
        <f>IF(AND(ISBLANK(C53),ISBLANK(D53)=FALSE),MAX(B$8:B52)+1,"")</f>
        <v>23</v>
      </c>
      <c r="C53" s="314"/>
      <c r="D53" s="315" t="s">
        <v>52</v>
      </c>
    </row>
    <row r="54" spans="2:14" ht="34.5" x14ac:dyDescent="0.35">
      <c r="B54" s="313">
        <f>IF(AND(ISBLANK(C54),ISBLANK(D54)=FALSE),MAX(B$8:B53)+1,"")</f>
        <v>24</v>
      </c>
      <c r="C54" s="314"/>
      <c r="D54" s="315" t="s">
        <v>382</v>
      </c>
    </row>
    <row r="55" spans="2:14" ht="17.25" x14ac:dyDescent="0.35">
      <c r="B55" s="313">
        <f>IF(AND(ISBLANK(C55),ISBLANK(D55)=FALSE),MAX(B$8:B54)+1,"")</f>
        <v>25</v>
      </c>
      <c r="C55" s="314"/>
      <c r="D55" s="315" t="s">
        <v>253</v>
      </c>
    </row>
    <row r="56" spans="2:14" ht="17.25" x14ac:dyDescent="0.45">
      <c r="B56" s="320"/>
      <c r="C56" s="311"/>
      <c r="D56" s="311"/>
    </row>
    <row r="57" spans="2:14" ht="17.25" x14ac:dyDescent="0.45">
      <c r="B57" s="320"/>
      <c r="C57" s="323"/>
      <c r="D57" s="323"/>
    </row>
    <row r="58" spans="2:14" ht="30" customHeight="1" x14ac:dyDescent="0.5">
      <c r="B58" s="320"/>
      <c r="C58" s="312" t="s">
        <v>53</v>
      </c>
      <c r="D58" s="312"/>
    </row>
    <row r="59" spans="2:14" ht="30" customHeight="1" x14ac:dyDescent="0.5">
      <c r="B59" s="320"/>
      <c r="C59" s="312"/>
      <c r="D59" s="312"/>
    </row>
    <row r="60" spans="2:14" ht="17.649999999999999" x14ac:dyDescent="0.5">
      <c r="B60" s="320"/>
      <c r="C60" s="432" t="s">
        <v>410</v>
      </c>
      <c r="D60" s="312"/>
    </row>
    <row r="61" spans="2:14" ht="17.25" x14ac:dyDescent="0.45">
      <c r="B61" s="320"/>
      <c r="C61" s="335" t="s">
        <v>54</v>
      </c>
      <c r="D61" s="311" t="s">
        <v>384</v>
      </c>
    </row>
    <row r="62" spans="2:14" ht="17.649999999999999" x14ac:dyDescent="0.5">
      <c r="B62" s="320"/>
      <c r="C62" s="336"/>
      <c r="D62" s="312"/>
    </row>
    <row r="63" spans="2:14" ht="17.649999999999999" x14ac:dyDescent="0.5">
      <c r="B63" s="311"/>
      <c r="C63" s="337" t="s">
        <v>353</v>
      </c>
      <c r="D63" s="312"/>
    </row>
    <row r="64" spans="2:14" ht="17.25" x14ac:dyDescent="0.45">
      <c r="B64" s="311"/>
      <c r="C64" s="335" t="s">
        <v>54</v>
      </c>
      <c r="D64" s="311" t="s">
        <v>383</v>
      </c>
    </row>
    <row r="65" spans="2:4" ht="17.25" x14ac:dyDescent="0.45">
      <c r="B65" s="311"/>
      <c r="C65" s="335" t="s">
        <v>54</v>
      </c>
      <c r="D65" s="325" t="s">
        <v>354</v>
      </c>
    </row>
    <row r="66" spans="2:4" ht="17.25" x14ac:dyDescent="0.45">
      <c r="B66" s="311"/>
      <c r="C66" s="335" t="s">
        <v>54</v>
      </c>
      <c r="D66" s="324" t="s">
        <v>355</v>
      </c>
    </row>
    <row r="67" spans="2:4" ht="17.25" x14ac:dyDescent="0.45">
      <c r="B67" s="311"/>
      <c r="C67" s="335" t="s">
        <v>54</v>
      </c>
      <c r="D67" s="324" t="s">
        <v>384</v>
      </c>
    </row>
    <row r="68" spans="2:4" ht="17.25" x14ac:dyDescent="0.45">
      <c r="B68" s="311"/>
      <c r="C68" s="335" t="s">
        <v>54</v>
      </c>
      <c r="D68" s="311" t="s">
        <v>356</v>
      </c>
    </row>
    <row r="69" spans="2:4" ht="17.25" x14ac:dyDescent="0.45">
      <c r="B69" s="311"/>
      <c r="C69" s="335" t="s">
        <v>54</v>
      </c>
      <c r="D69" s="311" t="s">
        <v>357</v>
      </c>
    </row>
    <row r="70" spans="2:4" ht="17.25" x14ac:dyDescent="0.45">
      <c r="B70" s="311"/>
      <c r="C70" s="320"/>
      <c r="D70" s="311"/>
    </row>
    <row r="71" spans="2:4" ht="17.649999999999999" x14ac:dyDescent="0.5">
      <c r="B71" s="311"/>
      <c r="C71" s="338" t="s">
        <v>278</v>
      </c>
      <c r="D71" s="312"/>
    </row>
    <row r="72" spans="2:4" ht="17.25" x14ac:dyDescent="0.45">
      <c r="B72" s="311"/>
      <c r="C72" s="327" t="s">
        <v>54</v>
      </c>
      <c r="D72" s="328" t="s">
        <v>275</v>
      </c>
    </row>
    <row r="73" spans="2:4" ht="17.25" x14ac:dyDescent="0.45">
      <c r="B73" s="311"/>
      <c r="C73" s="327" t="s">
        <v>54</v>
      </c>
      <c r="D73" s="328" t="s">
        <v>276</v>
      </c>
    </row>
    <row r="74" spans="2:4" ht="17.25" x14ac:dyDescent="0.45">
      <c r="B74" s="311"/>
      <c r="C74" s="327" t="s">
        <v>54</v>
      </c>
      <c r="D74" s="328" t="s">
        <v>277</v>
      </c>
    </row>
    <row r="75" spans="2:4" ht="17.25" x14ac:dyDescent="0.45">
      <c r="B75" s="311"/>
      <c r="C75" s="327" t="s">
        <v>54</v>
      </c>
      <c r="D75" s="329" t="s">
        <v>247</v>
      </c>
    </row>
    <row r="76" spans="2:4" ht="17.649999999999999" x14ac:dyDescent="0.5">
      <c r="B76" s="311"/>
      <c r="C76" s="336"/>
      <c r="D76" s="312"/>
    </row>
    <row r="77" spans="2:4" ht="17.25" x14ac:dyDescent="0.45">
      <c r="B77" s="311"/>
      <c r="C77" s="338" t="s">
        <v>155</v>
      </c>
      <c r="D77" s="326"/>
    </row>
    <row r="78" spans="2:4" ht="34.5" x14ac:dyDescent="0.45">
      <c r="B78" s="311"/>
      <c r="C78" s="327" t="s">
        <v>54</v>
      </c>
      <c r="D78" s="328" t="s">
        <v>385</v>
      </c>
    </row>
    <row r="79" spans="2:4" ht="17.25" x14ac:dyDescent="0.45">
      <c r="B79" s="311"/>
      <c r="C79" s="327" t="s">
        <v>54</v>
      </c>
      <c r="D79" s="328" t="s">
        <v>386</v>
      </c>
    </row>
    <row r="80" spans="2:4" ht="17.25" x14ac:dyDescent="0.45">
      <c r="B80" s="311"/>
      <c r="C80" s="327" t="s">
        <v>54</v>
      </c>
      <c r="D80" s="329" t="s">
        <v>387</v>
      </c>
    </row>
    <row r="81" spans="2:4" ht="17.25" x14ac:dyDescent="0.45">
      <c r="B81" s="311"/>
      <c r="C81" s="327" t="s">
        <v>54</v>
      </c>
      <c r="D81" s="328" t="s">
        <v>239</v>
      </c>
    </row>
    <row r="82" spans="2:4" ht="17.25" x14ac:dyDescent="0.45">
      <c r="B82" s="311"/>
      <c r="C82" s="327" t="s">
        <v>54</v>
      </c>
      <c r="D82" s="329" t="s">
        <v>174</v>
      </c>
    </row>
    <row r="83" spans="2:4" ht="17.25" x14ac:dyDescent="0.45">
      <c r="B83" s="311"/>
      <c r="C83" s="327" t="s">
        <v>54</v>
      </c>
      <c r="D83" s="329" t="s">
        <v>177</v>
      </c>
    </row>
    <row r="84" spans="2:4" ht="17.25" x14ac:dyDescent="0.45">
      <c r="B84" s="311"/>
      <c r="C84" s="327" t="s">
        <v>54</v>
      </c>
      <c r="D84" s="329" t="s">
        <v>247</v>
      </c>
    </row>
    <row r="85" spans="2:4" ht="17.649999999999999" x14ac:dyDescent="0.5">
      <c r="B85" s="311"/>
      <c r="C85" s="336"/>
      <c r="D85" s="312"/>
    </row>
    <row r="86" spans="2:4" ht="17.649999999999999" x14ac:dyDescent="0.5">
      <c r="B86" s="311"/>
      <c r="C86" s="339" t="s">
        <v>144</v>
      </c>
      <c r="D86" s="312"/>
    </row>
    <row r="87" spans="2:4" ht="17.25" x14ac:dyDescent="0.45">
      <c r="B87" s="311"/>
      <c r="C87" s="330" t="s">
        <v>54</v>
      </c>
      <c r="D87" s="324" t="s">
        <v>145</v>
      </c>
    </row>
    <row r="88" spans="2:4" ht="17.25" x14ac:dyDescent="0.45">
      <c r="B88" s="311"/>
      <c r="C88" s="330" t="s">
        <v>54</v>
      </c>
      <c r="D88" s="324" t="s">
        <v>146</v>
      </c>
    </row>
    <row r="89" spans="2:4" ht="17.25" x14ac:dyDescent="0.45">
      <c r="B89" s="311"/>
      <c r="C89" s="330" t="s">
        <v>54</v>
      </c>
      <c r="D89" s="324" t="s">
        <v>147</v>
      </c>
    </row>
    <row r="90" spans="2:4" ht="17.649999999999999" x14ac:dyDescent="0.5">
      <c r="B90" s="311"/>
      <c r="C90" s="336"/>
      <c r="D90" s="312"/>
    </row>
    <row r="91" spans="2:4" ht="17.649999999999999" x14ac:dyDescent="0.5">
      <c r="B91" s="311"/>
      <c r="C91" s="339" t="s">
        <v>132</v>
      </c>
      <c r="D91" s="312"/>
    </row>
    <row r="92" spans="2:4" ht="17.25" x14ac:dyDescent="0.45">
      <c r="B92" s="311"/>
      <c r="C92" s="330" t="s">
        <v>54</v>
      </c>
      <c r="D92" s="311" t="s">
        <v>148</v>
      </c>
    </row>
    <row r="93" spans="2:4" ht="17.25" x14ac:dyDescent="0.45">
      <c r="B93" s="311"/>
      <c r="C93" s="330" t="s">
        <v>54</v>
      </c>
      <c r="D93" s="324" t="s">
        <v>150</v>
      </c>
    </row>
    <row r="94" spans="2:4" ht="17.25" x14ac:dyDescent="0.45">
      <c r="B94" s="311"/>
      <c r="C94" s="330" t="s">
        <v>54</v>
      </c>
      <c r="D94" s="324" t="s">
        <v>149</v>
      </c>
    </row>
    <row r="95" spans="2:4" ht="17.649999999999999" x14ac:dyDescent="0.5">
      <c r="B95" s="311"/>
      <c r="C95" s="330"/>
      <c r="D95" s="312"/>
    </row>
    <row r="96" spans="2:4" ht="17.25" x14ac:dyDescent="0.45">
      <c r="B96" s="311"/>
      <c r="C96" s="320" t="s">
        <v>55</v>
      </c>
      <c r="D96" s="311"/>
    </row>
    <row r="97" spans="2:5" ht="14.25" customHeight="1" x14ac:dyDescent="0.45">
      <c r="B97" s="311"/>
      <c r="C97" s="330" t="s">
        <v>54</v>
      </c>
      <c r="D97" s="311" t="s">
        <v>56</v>
      </c>
    </row>
    <row r="98" spans="2:5" ht="17.25" hidden="1" x14ac:dyDescent="0.45">
      <c r="B98" s="311"/>
      <c r="C98" s="320"/>
      <c r="D98" s="311"/>
      <c r="E98" s="123"/>
    </row>
    <row r="99" spans="2:5" ht="17.25" x14ac:dyDescent="0.45">
      <c r="B99" s="331"/>
      <c r="C99" s="331"/>
      <c r="D99" s="331"/>
      <c r="E99" s="123"/>
    </row>
    <row r="100" spans="2:5" s="332" customFormat="1" ht="69.75" customHeight="1" x14ac:dyDescent="0.5">
      <c r="B100" s="331"/>
      <c r="C100" s="309" t="s">
        <v>73</v>
      </c>
      <c r="D100" s="310"/>
      <c r="E100" s="334"/>
    </row>
    <row r="101" spans="2:5" ht="56.25" customHeight="1" x14ac:dyDescent="0.35">
      <c r="B101" s="333"/>
      <c r="C101" s="442" t="s">
        <v>388</v>
      </c>
      <c r="D101" s="442"/>
      <c r="E101" s="123"/>
    </row>
    <row r="102" spans="2:5" x14ac:dyDescent="0.35">
      <c r="B102" s="123"/>
      <c r="C102" s="123"/>
      <c r="D102" s="123"/>
      <c r="E102" s="123"/>
    </row>
    <row r="103" spans="2:5" x14ac:dyDescent="0.35">
      <c r="B103" s="123"/>
      <c r="C103" s="123"/>
      <c r="D103" s="123"/>
      <c r="E103" s="123"/>
    </row>
    <row r="104" spans="2:5" x14ac:dyDescent="0.35">
      <c r="B104" s="123"/>
      <c r="C104" s="123"/>
      <c r="D104" s="123"/>
    </row>
  </sheetData>
  <sheetProtection algorithmName="SHA-512" hashValue="PiQZFcC+FUK6H+Ksv85VJElQK+5wxCzPGu4kl0I5CURYF8alKTcAYL6ycH93OPGjtgq0jQGtRppDjVFx4KOMCg==" saltValue="TWaME71gz4EaiF29T6drBA==" spinCount="100000" sheet="1" objects="1" scenarios="1" selectLockedCells="1" selectUnlockedCells="1"/>
  <mergeCells count="2">
    <mergeCell ref="A2:D2"/>
    <mergeCell ref="C101:D101"/>
  </mergeCells>
  <phoneticPr fontId="3" type="noConversion"/>
  <pageMargins left="0.25" right="0.25" top="0.75" bottom="0.75" header="0.3" footer="0.3"/>
  <pageSetup paperSize="9" scale="58" fitToHeight="0" orientation="portrait" r:id="rId1"/>
  <headerFooter alignWithMargins="0">
    <oddFooter>&amp;L&amp;"Arial,Italic"ABCB Lighting Calculator v2.20 • Help screen printout&amp;R&amp;"Arial,Italic"page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filterMode="1">
    <pageSetUpPr fitToPage="1"/>
  </sheetPr>
  <dimension ref="A1:SY231"/>
  <sheetViews>
    <sheetView showGridLines="0" showRowColHeaders="0" topLeftCell="B1" zoomScale="70" zoomScaleNormal="70" workbookViewId="0">
      <selection activeCell="J28" sqref="J28"/>
    </sheetView>
  </sheetViews>
  <sheetFormatPr defaultColWidth="8.86328125" defaultRowHeight="12.75" x14ac:dyDescent="0.35"/>
  <cols>
    <col min="1" max="1" width="5.1328125" style="12" hidden="1" customWidth="1"/>
    <col min="2" max="2" width="2.73046875" style="12" customWidth="1"/>
    <col min="3" max="3" width="4.3984375" style="11" bestFit="1" customWidth="1"/>
    <col min="4" max="4" width="25.59765625" style="12" customWidth="1"/>
    <col min="5" max="5" width="22.59765625" style="12" customWidth="1"/>
    <col min="6" max="6" width="18.73046875" style="12" customWidth="1"/>
    <col min="7" max="7" width="29.73046875" style="12" customWidth="1"/>
    <col min="8" max="9" width="12.3984375" style="12" customWidth="1"/>
    <col min="10" max="10" width="24.86328125" style="14" customWidth="1"/>
    <col min="11" max="11" width="13.1328125" style="14" customWidth="1"/>
    <col min="12" max="12" width="13.1328125" style="253" customWidth="1"/>
    <col min="13" max="13" width="21.73046875" style="253" customWidth="1"/>
    <col min="14" max="14" width="16.1328125" style="12" customWidth="1"/>
    <col min="15" max="15" width="14.59765625" style="12" customWidth="1"/>
    <col min="16" max="16" width="23" style="12" customWidth="1" collapsed="1"/>
    <col min="17" max="17" width="14" customWidth="1"/>
    <col min="18" max="18" width="11.73046875" style="12" hidden="1" customWidth="1"/>
    <col min="19" max="19" width="12.1328125" style="12" hidden="1" customWidth="1"/>
    <col min="20" max="23" width="11.1328125" style="12" hidden="1" customWidth="1"/>
    <col min="24" max="25" width="11.1328125" style="15" hidden="1" customWidth="1"/>
    <col min="26" max="26" width="11.1328125" style="12" hidden="1" customWidth="1"/>
    <col min="27" max="41" width="11" style="12" hidden="1" customWidth="1"/>
    <col min="42" max="42" width="9.1328125" style="12" hidden="1" customWidth="1" collapsed="1"/>
    <col min="43" max="43" width="14.3984375" style="12" hidden="1" customWidth="1"/>
    <col min="44" max="45" width="11.1328125" style="12" hidden="1" customWidth="1"/>
    <col min="46" max="46" width="10" style="12" hidden="1" customWidth="1"/>
    <col min="47" max="47" width="11.265625" style="12" hidden="1" customWidth="1"/>
    <col min="48" max="48" width="65.265625" style="12" hidden="1" customWidth="1"/>
    <col min="49" max="49" width="11.1328125" style="12" hidden="1" customWidth="1"/>
    <col min="50" max="50" width="62.73046875" style="12" hidden="1" customWidth="1"/>
    <col min="51" max="51" width="8.3984375" style="12" hidden="1" customWidth="1"/>
    <col min="52" max="53" width="10.59765625" style="12" hidden="1" customWidth="1"/>
    <col min="54" max="54" width="36.265625" style="240" hidden="1" customWidth="1"/>
    <col min="55" max="56" width="36.265625" style="12" hidden="1" customWidth="1"/>
    <col min="57" max="57" width="42" style="12" hidden="1" customWidth="1"/>
    <col min="58" max="60" width="13.73046875" style="12" hidden="1" customWidth="1"/>
    <col min="61" max="61" width="12.1328125" style="12" hidden="1" customWidth="1"/>
    <col min="62" max="62" width="14.73046875" style="12" hidden="1" customWidth="1"/>
    <col min="63" max="67" width="12.1328125" style="12" hidden="1" customWidth="1"/>
    <col min="68" max="68" width="12" style="26" hidden="1" customWidth="1"/>
    <col min="69" max="69" width="12" style="12" hidden="1" customWidth="1"/>
    <col min="70" max="70" width="15.1328125" style="12" hidden="1" customWidth="1"/>
    <col min="71" max="71" width="2.73046875" style="12" hidden="1" customWidth="1"/>
    <col min="72" max="72" width="10.73046875" style="12" hidden="1" customWidth="1"/>
    <col min="73" max="73" width="2.73046875" style="12" hidden="1" customWidth="1"/>
    <col min="74" max="75" width="6.265625" style="12" hidden="1" customWidth="1"/>
    <col min="76" max="76" width="9.1328125" style="12" hidden="1" customWidth="1"/>
    <col min="77" max="77" width="4.3984375" bestFit="1" customWidth="1"/>
    <col min="78" max="78" width="29.73046875" style="12" customWidth="1"/>
    <col min="79" max="79" width="26.59765625" style="12" customWidth="1"/>
    <col min="80" max="80" width="27.73046875" style="12" customWidth="1"/>
    <col min="81" max="81" width="22.1328125" style="12" bestFit="1" customWidth="1"/>
    <col min="82" max="82" width="28.59765625" style="12" customWidth="1"/>
    <col min="83" max="83" width="6.1328125" style="12" bestFit="1" customWidth="1"/>
    <col min="84" max="84" width="16.3984375" style="12" customWidth="1"/>
    <col min="85" max="85" width="52.73046875" style="12" customWidth="1"/>
    <col min="86" max="86" width="18.265625" style="12" customWidth="1"/>
    <col min="87" max="88" width="11.3984375" style="12" customWidth="1"/>
    <col min="89" max="89" width="18.3984375" style="12" customWidth="1"/>
    <col min="90" max="90" width="2.3984375" style="12" customWidth="1"/>
    <col min="91" max="91" width="2.265625" style="12" customWidth="1"/>
    <col min="92" max="97" width="8.86328125" style="12" customWidth="1"/>
    <col min="98" max="108" width="8.86328125" style="12" hidden="1" customWidth="1"/>
    <col min="109" max="109" width="10.1328125" style="12" hidden="1" customWidth="1"/>
    <col min="110" max="116" width="8.86328125" style="12" hidden="1" customWidth="1"/>
    <col min="117" max="118" width="8.86328125" style="12" customWidth="1"/>
    <col min="119" max="120" width="9.73046875" style="12" customWidth="1"/>
    <col min="121" max="121" width="7" style="12" customWidth="1"/>
    <col min="122" max="124" width="8.86328125" style="12" customWidth="1"/>
    <col min="125" max="16384" width="8.86328125" style="12"/>
  </cols>
  <sheetData>
    <row r="1" spans="1:519" ht="41.85" customHeight="1" x14ac:dyDescent="0.35">
      <c r="A1" s="27"/>
      <c r="Q1" s="284"/>
      <c r="R1" s="276"/>
      <c r="S1" s="276"/>
      <c r="T1" s="276"/>
      <c r="BY1" s="284"/>
      <c r="BZ1" s="276"/>
      <c r="CA1" s="276"/>
      <c r="CB1" s="276"/>
      <c r="CC1" s="276"/>
      <c r="CD1" s="276"/>
      <c r="CE1" s="276"/>
      <c r="CF1" s="276"/>
      <c r="CG1" s="276"/>
      <c r="CH1" s="276"/>
      <c r="CI1" s="276"/>
      <c r="CJ1" s="276"/>
      <c r="CK1" s="276"/>
      <c r="CL1" s="276"/>
      <c r="CM1" s="276"/>
      <c r="CN1" s="276"/>
      <c r="CO1" s="276"/>
      <c r="CP1" s="276"/>
      <c r="CQ1" s="276"/>
      <c r="CR1" s="276"/>
      <c r="CS1" s="276"/>
      <c r="CT1" s="27"/>
      <c r="CU1" s="27"/>
      <c r="CV1" s="27"/>
      <c r="CW1" s="27"/>
      <c r="CX1" s="27"/>
      <c r="CY1" s="27"/>
      <c r="CZ1" s="27"/>
    </row>
    <row r="2" spans="1:519" ht="41.85" customHeight="1" x14ac:dyDescent="0.35">
      <c r="A2" s="27"/>
      <c r="Q2" s="284"/>
      <c r="U2" s="15"/>
      <c r="X2" s="12"/>
      <c r="Y2" s="12"/>
      <c r="AV2" s="240"/>
      <c r="BB2" s="12"/>
      <c r="BJ2" s="26"/>
      <c r="BP2" s="12"/>
      <c r="BS2"/>
      <c r="BT2" s="75"/>
      <c r="BU2" s="73"/>
      <c r="BV2" s="27"/>
      <c r="BW2" s="276"/>
      <c r="BX2" s="276"/>
      <c r="BY2" s="276"/>
      <c r="BZ2" s="276"/>
      <c r="CA2" s="276"/>
      <c r="CB2" s="276"/>
      <c r="CC2" s="276"/>
      <c r="CD2" s="276"/>
      <c r="CE2" s="276"/>
      <c r="CF2" s="276"/>
      <c r="CG2" s="276"/>
      <c r="CH2" s="276"/>
      <c r="CI2" s="276"/>
      <c r="CJ2" s="276"/>
      <c r="CK2" s="276"/>
      <c r="CL2" s="276"/>
      <c r="CM2" s="276"/>
      <c r="CN2" s="276"/>
      <c r="CO2" s="276"/>
      <c r="CP2" s="276"/>
      <c r="CQ2" s="276"/>
      <c r="CR2" s="276"/>
      <c r="CS2" s="276"/>
    </row>
    <row r="3" spans="1:519" ht="41.85" customHeight="1" x14ac:dyDescent="0.35">
      <c r="A3" s="27"/>
      <c r="D3" s="118"/>
      <c r="Q3" s="284"/>
      <c r="U3" s="15"/>
      <c r="X3" s="12"/>
      <c r="Y3" s="12"/>
      <c r="AV3" s="240"/>
      <c r="BB3" s="12"/>
      <c r="BJ3" s="26"/>
      <c r="BP3" s="12"/>
      <c r="BS3"/>
      <c r="BT3" s="75"/>
      <c r="BU3" s="73"/>
      <c r="BV3" s="27"/>
      <c r="BW3" s="276"/>
      <c r="BX3" s="276"/>
      <c r="BY3" s="276"/>
      <c r="BZ3" s="276"/>
      <c r="CA3" s="276"/>
      <c r="CB3" s="276"/>
      <c r="CC3" s="276"/>
      <c r="CD3" s="276"/>
      <c r="CE3" s="276"/>
      <c r="CF3" s="276"/>
      <c r="CG3" s="276"/>
      <c r="CH3" s="276"/>
      <c r="CI3" s="276"/>
      <c r="CJ3" s="276"/>
      <c r="CK3" s="276"/>
      <c r="CL3" s="276"/>
      <c r="CM3" s="276"/>
      <c r="CN3" s="276"/>
      <c r="CO3" s="276"/>
      <c r="CP3" s="276"/>
      <c r="CQ3" s="276"/>
      <c r="CR3" s="276"/>
      <c r="CS3" s="276"/>
    </row>
    <row r="4" spans="1:519" ht="41.85" customHeight="1" x14ac:dyDescent="0.35">
      <c r="A4" s="27"/>
      <c r="Q4" s="284"/>
      <c r="U4" s="15"/>
      <c r="X4" s="12"/>
      <c r="Y4" s="12"/>
      <c r="AV4" s="240"/>
      <c r="BB4" s="12"/>
      <c r="BJ4" s="26"/>
      <c r="BP4" s="12"/>
      <c r="BS4"/>
      <c r="BT4" s="75"/>
      <c r="BU4" s="73"/>
      <c r="BV4" s="27"/>
      <c r="BW4" s="276"/>
      <c r="BX4" s="276"/>
      <c r="BY4" s="276"/>
      <c r="BZ4" s="276"/>
      <c r="CA4" s="276"/>
      <c r="CB4" s="276"/>
      <c r="CC4" s="276"/>
      <c r="CD4" s="276"/>
      <c r="CE4" s="276"/>
      <c r="CF4" s="276"/>
      <c r="CG4" s="276"/>
      <c r="CH4" s="276"/>
      <c r="CI4" s="276"/>
      <c r="CJ4" s="276"/>
      <c r="CK4" s="276"/>
      <c r="CL4" s="276"/>
      <c r="CM4" s="276"/>
      <c r="CN4" s="276"/>
      <c r="CO4" s="276"/>
      <c r="CP4" s="276"/>
      <c r="CQ4" s="276"/>
      <c r="CR4" s="276"/>
      <c r="CS4" s="276"/>
    </row>
    <row r="5" spans="1:519" ht="39.950000000000003" customHeight="1" x14ac:dyDescent="0.45">
      <c r="A5" s="27"/>
      <c r="B5" s="383"/>
      <c r="C5" s="384"/>
      <c r="D5" s="383"/>
      <c r="E5" s="383"/>
      <c r="F5" s="383"/>
      <c r="G5" s="383"/>
      <c r="H5" s="383"/>
      <c r="I5" s="383"/>
      <c r="J5" s="385"/>
      <c r="K5" s="385"/>
      <c r="L5" s="385"/>
      <c r="M5" s="385"/>
      <c r="N5" s="385"/>
      <c r="O5" s="443" t="s">
        <v>361</v>
      </c>
      <c r="P5" s="444"/>
      <c r="Q5" s="284"/>
      <c r="R5" s="386" t="s">
        <v>361</v>
      </c>
      <c r="U5" s="15"/>
      <c r="X5" s="12"/>
      <c r="Y5" s="12"/>
      <c r="AV5" s="240"/>
      <c r="BB5" s="12"/>
      <c r="BJ5" s="26"/>
      <c r="BP5" s="12"/>
      <c r="BS5"/>
      <c r="BT5" s="75"/>
      <c r="BU5" s="73"/>
      <c r="BV5" s="27"/>
      <c r="BW5" s="276"/>
      <c r="BX5" s="276"/>
      <c r="BY5" s="363"/>
      <c r="BZ5" s="363"/>
      <c r="CA5" s="363"/>
      <c r="CB5" s="363"/>
      <c r="CC5" s="363"/>
      <c r="CD5" s="363"/>
      <c r="CE5" s="276"/>
      <c r="CF5" s="276"/>
      <c r="CG5" s="276"/>
      <c r="CH5" s="276"/>
      <c r="CI5" s="276"/>
      <c r="CJ5" s="276"/>
      <c r="CK5" s="276"/>
      <c r="CL5" s="276"/>
      <c r="CM5" s="276"/>
      <c r="CN5" s="276"/>
      <c r="CO5" s="276"/>
      <c r="CP5" s="276"/>
      <c r="CQ5" s="276"/>
      <c r="CR5" s="276"/>
      <c r="CS5" s="276"/>
    </row>
    <row r="6" spans="1:519" ht="12.75" hidden="1" customHeight="1" x14ac:dyDescent="0.35">
      <c r="A6" s="27"/>
      <c r="P6" s="284"/>
      <c r="Q6" s="284"/>
      <c r="U6" s="15"/>
      <c r="X6" s="12"/>
      <c r="Y6" s="12"/>
      <c r="AV6" s="240"/>
      <c r="BB6" s="12"/>
      <c r="BJ6" s="26"/>
      <c r="BP6" s="12"/>
      <c r="BS6"/>
      <c r="BT6" s="75"/>
      <c r="BU6" s="73"/>
      <c r="BV6" s="27"/>
      <c r="BW6" s="27"/>
      <c r="BX6" s="27"/>
      <c r="BY6" s="27"/>
      <c r="BZ6" s="27"/>
      <c r="CA6" s="27"/>
      <c r="CB6" s="27"/>
      <c r="CC6" s="27"/>
      <c r="CD6" s="27"/>
      <c r="CE6" s="27"/>
      <c r="CF6" s="27"/>
      <c r="CG6" s="27"/>
      <c r="CH6" s="27"/>
      <c r="CI6" s="27"/>
      <c r="CJ6" s="27"/>
      <c r="CK6" s="27"/>
      <c r="CL6" s="27"/>
      <c r="CM6" s="27"/>
      <c r="CN6" s="27"/>
      <c r="CO6" s="27"/>
      <c r="CP6" s="27"/>
      <c r="CQ6" s="27"/>
      <c r="CR6" s="27"/>
      <c r="CS6" s="27"/>
    </row>
    <row r="7" spans="1:519" ht="12.75" hidden="1" customHeight="1" x14ac:dyDescent="0.35">
      <c r="A7" s="27"/>
      <c r="G7" s="13"/>
      <c r="H7" s="13"/>
      <c r="U7" s="15"/>
      <c r="X7" s="12"/>
      <c r="Y7" s="12"/>
      <c r="AV7" s="240"/>
      <c r="BB7" s="12"/>
      <c r="BJ7" s="26"/>
      <c r="BP7" s="12"/>
      <c r="BS7"/>
      <c r="BT7" s="75"/>
      <c r="BU7" s="73"/>
      <c r="BV7" s="27"/>
      <c r="BW7" s="27"/>
      <c r="BX7" s="27"/>
      <c r="BY7" s="27"/>
      <c r="BZ7" s="27"/>
      <c r="CA7" s="27"/>
      <c r="CB7" s="27"/>
      <c r="CC7" s="27"/>
      <c r="CD7" s="27"/>
      <c r="CE7" s="27"/>
      <c r="CF7" s="27"/>
      <c r="CG7" s="27"/>
      <c r="CH7" s="27"/>
      <c r="CI7" s="27"/>
      <c r="CJ7" s="27"/>
      <c r="CK7" s="27"/>
      <c r="CL7" s="27"/>
      <c r="CM7" s="27"/>
      <c r="CN7" s="27"/>
      <c r="CO7" s="27"/>
      <c r="CP7" s="27"/>
      <c r="CQ7" s="27"/>
      <c r="CR7" s="27"/>
      <c r="CS7" s="27"/>
    </row>
    <row r="8" spans="1:519" ht="12.75" hidden="1" customHeight="1" x14ac:dyDescent="0.35">
      <c r="A8" s="27"/>
      <c r="H8" s="13"/>
      <c r="I8" s="13"/>
      <c r="U8" s="15"/>
      <c r="X8" s="12"/>
      <c r="Y8" s="12"/>
      <c r="AV8" s="240"/>
      <c r="BB8" s="12"/>
      <c r="BJ8" s="26"/>
      <c r="BP8" s="12"/>
      <c r="BS8"/>
      <c r="BT8" s="75"/>
      <c r="BU8" s="73"/>
      <c r="BV8" s="27"/>
      <c r="BW8" s="27"/>
      <c r="BX8" s="27"/>
      <c r="BY8" s="27"/>
      <c r="BZ8" s="27"/>
      <c r="CA8" s="27"/>
      <c r="CB8" s="27"/>
      <c r="CC8" s="27"/>
      <c r="CD8" s="27"/>
      <c r="CE8" s="27"/>
      <c r="CF8" s="27"/>
      <c r="CG8" s="27"/>
      <c r="CH8" s="27"/>
      <c r="CI8" s="27"/>
      <c r="CJ8" s="27"/>
      <c r="CK8" s="27"/>
      <c r="CL8" s="27"/>
      <c r="CM8" s="27"/>
      <c r="CN8" s="27"/>
      <c r="CO8" s="27"/>
      <c r="CP8" s="27"/>
      <c r="CQ8" s="27"/>
      <c r="CR8" s="27"/>
      <c r="CS8" s="27"/>
    </row>
    <row r="9" spans="1:519" s="276" customFormat="1" x14ac:dyDescent="0.35">
      <c r="A9" s="27"/>
      <c r="C9" s="277"/>
      <c r="H9" s="280"/>
      <c r="J9" s="278"/>
      <c r="K9" s="278"/>
      <c r="L9" s="278"/>
      <c r="M9" s="278"/>
      <c r="Q9" s="284"/>
      <c r="R9" s="12"/>
      <c r="S9" s="12"/>
      <c r="T9" s="12"/>
      <c r="U9" s="15"/>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240"/>
      <c r="AW9" s="12"/>
      <c r="AX9" s="12"/>
      <c r="AY9" s="12"/>
      <c r="AZ9" s="12"/>
      <c r="BA9" s="12"/>
      <c r="BB9" s="12"/>
      <c r="BC9" s="12"/>
      <c r="BD9" s="12"/>
      <c r="BE9" s="12"/>
      <c r="BF9" s="12"/>
      <c r="BG9" s="12"/>
      <c r="BH9" s="12"/>
      <c r="BI9" s="12"/>
      <c r="BJ9" s="26"/>
      <c r="BK9" s="12"/>
      <c r="BL9" s="12"/>
      <c r="BM9" s="12"/>
      <c r="BN9" s="12"/>
      <c r="BO9" s="12"/>
      <c r="BP9" s="12"/>
      <c r="BQ9" s="12"/>
      <c r="BR9" s="12"/>
      <c r="BS9"/>
      <c r="BT9" s="75"/>
      <c r="BU9" s="73"/>
      <c r="BV9" s="27"/>
      <c r="BW9" s="27"/>
      <c r="BX9" s="12"/>
      <c r="CT9" s="12"/>
      <c r="CU9" s="12"/>
      <c r="CV9" s="12"/>
      <c r="CW9" s="12"/>
      <c r="CX9" s="12"/>
      <c r="CY9" s="12"/>
      <c r="CZ9" s="12"/>
      <c r="DA9" s="12"/>
      <c r="DB9" s="12"/>
      <c r="DC9" s="12"/>
      <c r="DD9" s="12"/>
      <c r="DE9" s="12"/>
      <c r="DF9" s="12"/>
      <c r="DG9" s="12"/>
      <c r="DH9" s="12"/>
      <c r="DI9" s="12"/>
      <c r="DJ9" s="12"/>
      <c r="DK9" s="12"/>
      <c r="DL9" s="12"/>
      <c r="DM9" s="75"/>
      <c r="DN9" s="75"/>
      <c r="DO9" s="75"/>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c r="EQ9" s="75"/>
      <c r="ER9" s="75"/>
      <c r="ES9" s="75"/>
      <c r="ET9" s="75"/>
      <c r="EU9" s="75"/>
      <c r="EV9" s="75"/>
      <c r="EW9" s="75"/>
      <c r="EX9" s="75"/>
      <c r="EY9" s="75"/>
      <c r="EZ9" s="75"/>
      <c r="FA9" s="75"/>
      <c r="FB9" s="75"/>
      <c r="FC9" s="75"/>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c r="HS9" s="75"/>
      <c r="HT9" s="75"/>
      <c r="HU9" s="75"/>
      <c r="HV9" s="75"/>
      <c r="HW9" s="75"/>
      <c r="HX9" s="75"/>
      <c r="HY9" s="75"/>
      <c r="HZ9" s="75"/>
      <c r="IA9" s="75"/>
      <c r="IB9" s="75"/>
      <c r="IC9" s="75"/>
      <c r="ID9" s="75"/>
      <c r="IE9" s="75"/>
      <c r="IF9" s="75"/>
      <c r="IG9" s="75"/>
      <c r="IH9" s="75"/>
      <c r="II9" s="75"/>
      <c r="IJ9" s="75"/>
      <c r="IK9" s="75"/>
      <c r="IL9" s="75"/>
      <c r="IM9" s="75"/>
      <c r="IN9" s="75"/>
      <c r="IO9" s="75"/>
      <c r="IP9" s="75"/>
      <c r="IQ9" s="75"/>
      <c r="IR9" s="75"/>
      <c r="IS9" s="75"/>
      <c r="IT9" s="75"/>
      <c r="IU9" s="75"/>
      <c r="IV9" s="75"/>
      <c r="IW9" s="75"/>
      <c r="IX9" s="75"/>
      <c r="IY9" s="75"/>
      <c r="IZ9" s="75"/>
      <c r="JA9" s="75"/>
      <c r="JB9" s="75"/>
      <c r="JC9" s="75"/>
      <c r="JD9" s="75"/>
      <c r="JE9" s="75"/>
      <c r="JF9" s="75"/>
      <c r="JG9" s="75"/>
      <c r="JH9" s="75"/>
      <c r="JI9" s="75"/>
      <c r="JJ9" s="75"/>
      <c r="JK9" s="75"/>
      <c r="JL9" s="75"/>
      <c r="JM9" s="75"/>
      <c r="JN9" s="75"/>
      <c r="JO9" s="75"/>
      <c r="JP9" s="75"/>
      <c r="JQ9" s="75"/>
      <c r="JR9" s="75"/>
      <c r="JS9" s="75"/>
      <c r="JT9" s="75"/>
      <c r="JU9" s="75"/>
      <c r="JV9" s="75"/>
      <c r="JW9" s="75"/>
      <c r="JX9" s="75"/>
      <c r="JY9" s="75"/>
      <c r="JZ9" s="75"/>
      <c r="KA9" s="75"/>
      <c r="KB9" s="75"/>
      <c r="KC9" s="75"/>
      <c r="KD9" s="75"/>
      <c r="KE9" s="75"/>
      <c r="KF9" s="75"/>
      <c r="KG9" s="75"/>
      <c r="KH9" s="75"/>
      <c r="KI9" s="75"/>
      <c r="KJ9" s="75"/>
      <c r="KK9" s="75"/>
      <c r="KL9" s="75"/>
      <c r="KM9" s="75"/>
      <c r="KN9" s="75"/>
      <c r="KO9" s="75"/>
      <c r="KP9" s="75"/>
      <c r="KQ9" s="75"/>
      <c r="KR9" s="75"/>
      <c r="KS9" s="75"/>
      <c r="KT9" s="75"/>
      <c r="KU9" s="75"/>
      <c r="KV9" s="75"/>
      <c r="KW9" s="75"/>
      <c r="KX9" s="75"/>
      <c r="KY9" s="75"/>
      <c r="KZ9" s="75"/>
      <c r="LA9" s="75"/>
      <c r="LB9" s="75"/>
      <c r="LC9" s="75"/>
      <c r="LD9" s="75"/>
      <c r="LE9" s="75"/>
      <c r="LF9" s="75"/>
      <c r="LG9" s="75"/>
      <c r="LH9" s="75"/>
      <c r="LI9" s="75"/>
      <c r="LJ9" s="75"/>
      <c r="LK9" s="75"/>
      <c r="LL9" s="75"/>
      <c r="LM9" s="75"/>
      <c r="LN9" s="75"/>
      <c r="LO9" s="75"/>
      <c r="LP9" s="75"/>
      <c r="LQ9" s="75"/>
      <c r="LR9" s="75"/>
      <c r="LS9" s="75"/>
      <c r="LT9" s="75"/>
      <c r="LU9" s="75"/>
      <c r="LV9" s="75"/>
      <c r="LW9" s="75"/>
      <c r="LX9" s="75"/>
      <c r="LY9" s="75"/>
      <c r="LZ9" s="75"/>
      <c r="MA9" s="75"/>
      <c r="MB9" s="75"/>
      <c r="MC9" s="75"/>
      <c r="MD9" s="75"/>
      <c r="ME9" s="75"/>
      <c r="MF9" s="75"/>
      <c r="MG9" s="75"/>
      <c r="MH9" s="75"/>
      <c r="MI9" s="75"/>
      <c r="MJ9" s="75"/>
      <c r="MK9" s="75"/>
      <c r="ML9" s="75"/>
      <c r="MM9" s="75"/>
      <c r="MN9" s="75"/>
      <c r="MO9" s="75"/>
      <c r="MP9" s="75"/>
      <c r="MQ9" s="75"/>
      <c r="MR9" s="75"/>
      <c r="MS9" s="75"/>
      <c r="MT9" s="75"/>
      <c r="MU9" s="75"/>
      <c r="MV9" s="75"/>
      <c r="MW9" s="75"/>
      <c r="MX9" s="75"/>
      <c r="MY9" s="75"/>
      <c r="MZ9" s="75"/>
      <c r="NA9" s="75"/>
      <c r="NB9" s="75"/>
      <c r="NC9" s="75"/>
      <c r="ND9" s="75"/>
      <c r="NE9" s="75"/>
      <c r="NF9" s="75"/>
      <c r="NG9" s="75"/>
      <c r="NH9" s="75"/>
      <c r="NI9" s="75"/>
      <c r="NJ9" s="75"/>
      <c r="NK9" s="75"/>
      <c r="NL9" s="75"/>
      <c r="NM9" s="75"/>
      <c r="NN9" s="75"/>
      <c r="NO9" s="75"/>
      <c r="NP9" s="75"/>
      <c r="NQ9" s="75"/>
      <c r="NR9" s="75"/>
      <c r="NS9" s="75"/>
      <c r="NT9" s="75"/>
      <c r="NU9" s="75"/>
      <c r="NV9" s="75"/>
      <c r="NW9" s="75"/>
      <c r="NX9" s="75"/>
      <c r="NY9" s="75"/>
      <c r="NZ9" s="75"/>
      <c r="OA9" s="75"/>
      <c r="OB9" s="75"/>
      <c r="OC9" s="75"/>
      <c r="OD9" s="75"/>
      <c r="OE9" s="75"/>
      <c r="OF9" s="75"/>
      <c r="OG9" s="75"/>
      <c r="OH9" s="75"/>
      <c r="OI9" s="75"/>
      <c r="OJ9" s="75"/>
      <c r="OK9" s="75"/>
      <c r="OL9" s="75"/>
      <c r="OM9" s="75"/>
      <c r="ON9" s="75"/>
      <c r="OO9" s="75"/>
      <c r="OP9" s="75"/>
      <c r="OQ9" s="75"/>
      <c r="OR9" s="75"/>
      <c r="OS9" s="75"/>
      <c r="OT9" s="75"/>
      <c r="OU9" s="75"/>
      <c r="OV9" s="75"/>
      <c r="OW9" s="75"/>
      <c r="OX9" s="75"/>
      <c r="OY9" s="75"/>
      <c r="OZ9" s="75"/>
      <c r="PA9" s="75"/>
      <c r="PB9" s="75"/>
      <c r="PC9" s="75"/>
      <c r="PD9" s="75"/>
      <c r="PE9" s="75"/>
      <c r="PF9" s="75"/>
      <c r="PG9" s="75"/>
      <c r="PH9" s="75"/>
      <c r="PI9" s="75"/>
      <c r="PJ9" s="75"/>
      <c r="PK9" s="75"/>
      <c r="PL9" s="75"/>
      <c r="PM9" s="75"/>
      <c r="PN9" s="75"/>
      <c r="PO9" s="75"/>
      <c r="PP9" s="75"/>
      <c r="PQ9" s="75"/>
      <c r="PR9" s="75"/>
      <c r="PS9" s="75"/>
      <c r="PT9" s="75"/>
      <c r="PU9" s="75"/>
      <c r="PV9" s="75"/>
      <c r="PW9" s="75"/>
      <c r="PX9" s="75"/>
      <c r="PY9" s="75"/>
      <c r="PZ9" s="75"/>
      <c r="QA9" s="75"/>
      <c r="QB9" s="75"/>
      <c r="QC9" s="75"/>
      <c r="QD9" s="75"/>
      <c r="QE9" s="75"/>
      <c r="QF9" s="75"/>
      <c r="QG9" s="75"/>
      <c r="QH9" s="75"/>
      <c r="QI9" s="75"/>
      <c r="QJ9" s="75"/>
      <c r="QK9" s="75"/>
      <c r="QL9" s="75"/>
      <c r="QM9" s="75"/>
      <c r="QN9" s="75"/>
      <c r="QO9" s="75"/>
      <c r="QP9" s="75"/>
      <c r="QQ9" s="75"/>
      <c r="QR9" s="75"/>
      <c r="QS9" s="75"/>
      <c r="QT9" s="75"/>
      <c r="QU9" s="75"/>
      <c r="QV9" s="75"/>
      <c r="QW9" s="75"/>
      <c r="QX9" s="75"/>
      <c r="QY9" s="75"/>
      <c r="QZ9" s="75"/>
      <c r="RA9" s="75"/>
      <c r="RB9" s="75"/>
      <c r="RC9" s="75"/>
      <c r="RD9" s="75"/>
      <c r="RE9" s="75"/>
      <c r="RF9" s="75"/>
      <c r="RG9" s="75"/>
      <c r="RH9" s="75"/>
      <c r="RI9" s="75"/>
      <c r="RJ9" s="75"/>
      <c r="RK9" s="75"/>
      <c r="RL9" s="75"/>
      <c r="RM9" s="75"/>
      <c r="RN9" s="75"/>
      <c r="RO9" s="75"/>
      <c r="RP9" s="75"/>
      <c r="RQ9" s="75"/>
      <c r="RR9" s="75"/>
      <c r="RS9" s="75"/>
      <c r="RT9" s="75"/>
      <c r="RU9" s="75"/>
      <c r="RV9" s="75"/>
      <c r="RW9" s="75"/>
      <c r="RX9" s="75"/>
      <c r="RY9" s="75"/>
      <c r="RZ9" s="75"/>
      <c r="SA9" s="75"/>
      <c r="SB9" s="75"/>
      <c r="SC9" s="75"/>
      <c r="SD9" s="75"/>
      <c r="SE9" s="75"/>
      <c r="SF9" s="75"/>
      <c r="SG9" s="75"/>
      <c r="SH9" s="75"/>
      <c r="SI9" s="75"/>
      <c r="SJ9" s="75"/>
      <c r="SK9" s="75"/>
      <c r="SL9" s="75"/>
      <c r="SM9" s="75"/>
      <c r="SN9" s="75"/>
      <c r="SO9" s="75"/>
      <c r="SP9" s="75"/>
      <c r="SQ9" s="75"/>
      <c r="SR9" s="75"/>
      <c r="SS9" s="75"/>
      <c r="ST9" s="75"/>
      <c r="SU9" s="75"/>
      <c r="SV9" s="75"/>
      <c r="SW9" s="75"/>
      <c r="SX9" s="75"/>
      <c r="SY9" s="75"/>
    </row>
    <row r="10" spans="1:519" ht="17.649999999999999" x14ac:dyDescent="0.5">
      <c r="A10" s="27"/>
      <c r="B10" s="363"/>
      <c r="C10" s="376"/>
      <c r="D10" s="528" t="str">
        <f>IF(NOT(J98),"Building name/description","")</f>
        <v>Building name/description</v>
      </c>
      <c r="E10" s="529"/>
      <c r="F10" s="529"/>
      <c r="G10" s="529"/>
      <c r="H10" s="529"/>
      <c r="I10" s="529"/>
      <c r="J10" s="529"/>
      <c r="K10" s="378"/>
      <c r="L10" s="481" t="str">
        <f>IF(NOT(J100),"Classification","")</f>
        <v>Classification</v>
      </c>
      <c r="M10" s="482"/>
      <c r="N10" s="554" t="str">
        <f>IF(ClassificationTwo=Class10,"This calculator is not applicable to Classes 10b or 10c.","")</f>
        <v/>
      </c>
      <c r="O10" s="555"/>
      <c r="P10" s="555"/>
      <c r="Q10" s="343"/>
      <c r="S10" s="12" t="b">
        <f>OR(ISNUMBER(R28))</f>
        <v>0</v>
      </c>
      <c r="U10" s="15"/>
      <c r="X10" s="12"/>
      <c r="Y10" s="12"/>
      <c r="AV10" s="240"/>
      <c r="BB10" s="12"/>
      <c r="BJ10" s="26"/>
      <c r="BP10" s="12"/>
      <c r="BS10"/>
      <c r="BT10" s="75"/>
      <c r="BU10" s="73"/>
      <c r="BV10" s="27"/>
      <c r="BW10" s="276"/>
      <c r="BX10" s="276"/>
      <c r="BY10" s="363"/>
      <c r="BZ10" s="363"/>
      <c r="CA10" s="363"/>
      <c r="CB10" s="363"/>
      <c r="CC10" s="363"/>
      <c r="CD10" s="363"/>
      <c r="CE10" s="276"/>
      <c r="CF10" s="276"/>
      <c r="CG10" s="276"/>
      <c r="CH10" s="276"/>
      <c r="CI10" s="276"/>
      <c r="CJ10" s="276"/>
      <c r="CK10" s="276"/>
      <c r="CL10" s="276"/>
      <c r="CM10" s="276"/>
      <c r="CN10" s="276"/>
      <c r="CO10" s="276"/>
      <c r="CP10" s="276"/>
      <c r="CQ10" s="276"/>
      <c r="CR10" s="276"/>
      <c r="CS10" s="276"/>
      <c r="DJ10" s="207" t="s">
        <v>243</v>
      </c>
    </row>
    <row r="11" spans="1:519" ht="17.25" x14ac:dyDescent="0.45">
      <c r="A11" s="27"/>
      <c r="B11" s="363"/>
      <c r="C11" s="376"/>
      <c r="D11" s="561" t="s">
        <v>400</v>
      </c>
      <c r="E11" s="562"/>
      <c r="F11" s="562"/>
      <c r="G11" s="562"/>
      <c r="H11" s="562"/>
      <c r="I11" s="562"/>
      <c r="J11" s="562"/>
      <c r="K11" s="379"/>
      <c r="L11" s="566" t="s">
        <v>35</v>
      </c>
      <c r="M11" s="567"/>
      <c r="N11" s="554"/>
      <c r="O11" s="555"/>
      <c r="P11" s="555"/>
      <c r="Q11" s="343"/>
      <c r="U11" s="15"/>
      <c r="X11" s="12"/>
      <c r="Y11" s="12"/>
      <c r="AV11" s="240"/>
      <c r="BB11" s="12"/>
      <c r="BJ11" s="26"/>
      <c r="BP11" s="12"/>
      <c r="BS11"/>
      <c r="BT11" s="75"/>
      <c r="BU11" s="73"/>
      <c r="BV11" s="27"/>
      <c r="BW11" s="276"/>
      <c r="BX11" s="276"/>
      <c r="BY11" s="363"/>
      <c r="BZ11" s="363"/>
      <c r="CA11" s="363"/>
      <c r="CB11" s="363"/>
      <c r="CC11" s="363"/>
      <c r="CD11" s="363"/>
      <c r="CE11" s="276"/>
      <c r="CF11" s="276"/>
      <c r="CG11" s="276"/>
      <c r="CH11" s="276"/>
      <c r="CI11" s="276"/>
      <c r="CJ11" s="276"/>
      <c r="CK11" s="276"/>
      <c r="CL11" s="276"/>
      <c r="CM11" s="276"/>
      <c r="CN11" s="276"/>
      <c r="CO11" s="276"/>
      <c r="CP11" s="276"/>
      <c r="CQ11" s="276"/>
      <c r="CR11" s="276"/>
      <c r="CS11" s="276"/>
      <c r="DJ11" s="206" t="b">
        <f>COUNTA(DescriptionTwo,ClassificationTwo)=2</f>
        <v>1</v>
      </c>
    </row>
    <row r="12" spans="1:519" ht="6" customHeight="1" x14ac:dyDescent="0.45">
      <c r="A12" s="27"/>
      <c r="B12" s="363"/>
      <c r="C12" s="376"/>
      <c r="D12" s="363"/>
      <c r="E12" s="363"/>
      <c r="F12" s="363"/>
      <c r="G12" s="363"/>
      <c r="H12" s="348"/>
      <c r="I12" s="363"/>
      <c r="J12" s="377"/>
      <c r="K12" s="377"/>
      <c r="L12" s="377"/>
      <c r="M12" s="377"/>
      <c r="N12" s="363"/>
      <c r="O12" s="363"/>
      <c r="P12" s="363"/>
      <c r="Q12" s="343"/>
      <c r="S12" s="12" t="s">
        <v>227</v>
      </c>
      <c r="U12" s="15"/>
      <c r="X12" s="12"/>
      <c r="Y12" s="12"/>
      <c r="AV12" s="240"/>
      <c r="BB12" s="12"/>
      <c r="BJ12" s="26"/>
      <c r="BP12" s="12"/>
      <c r="BS12"/>
      <c r="BT12" s="75"/>
      <c r="BU12" s="73"/>
      <c r="BV12" s="27"/>
      <c r="BW12" s="276"/>
      <c r="BX12" s="276"/>
      <c r="BY12" s="363"/>
      <c r="BZ12" s="363"/>
      <c r="CA12" s="363"/>
      <c r="CB12" s="363"/>
      <c r="CC12" s="363"/>
      <c r="CD12" s="363"/>
      <c r="CE12" s="276"/>
      <c r="CF12" s="276"/>
      <c r="CG12" s="276"/>
      <c r="CH12" s="276"/>
      <c r="CI12" s="276"/>
      <c r="CJ12" s="276"/>
      <c r="CK12" s="276"/>
      <c r="CL12" s="276"/>
      <c r="CM12" s="276"/>
      <c r="CN12" s="276"/>
      <c r="CO12" s="276"/>
      <c r="CP12" s="276"/>
      <c r="CQ12" s="276"/>
      <c r="CR12" s="276"/>
      <c r="CS12" s="276"/>
    </row>
    <row r="13" spans="1:519" ht="12.75" hidden="1" customHeight="1" x14ac:dyDescent="0.35">
      <c r="A13" s="27"/>
      <c r="H13" s="13"/>
      <c r="Q13" s="12"/>
      <c r="U13" s="15"/>
      <c r="X13" s="12"/>
      <c r="Y13" s="12"/>
      <c r="AV13" s="240"/>
      <c r="BB13" s="12"/>
      <c r="BJ13" s="26"/>
      <c r="BL13" s="13"/>
      <c r="BP13" s="12"/>
      <c r="BT13" s="58"/>
      <c r="BU13" s="73"/>
      <c r="BV13" s="27"/>
      <c r="BW13" s="27"/>
      <c r="BY13" s="12"/>
      <c r="CF13" s="73"/>
      <c r="CG13" s="27"/>
      <c r="CH13" s="27"/>
      <c r="CI13" s="27"/>
      <c r="CJ13" s="27"/>
      <c r="CK13" s="27"/>
      <c r="CL13" s="27"/>
      <c r="CM13" s="27"/>
      <c r="CN13" s="27"/>
      <c r="CO13" s="27"/>
      <c r="CP13" s="27"/>
      <c r="CQ13" s="27"/>
      <c r="CR13" s="27"/>
      <c r="CS13" s="27"/>
    </row>
    <row r="14" spans="1:519" ht="12.75" hidden="1" customHeight="1" x14ac:dyDescent="0.35">
      <c r="A14" s="27"/>
      <c r="Q14" s="12"/>
      <c r="U14" s="15"/>
      <c r="X14" s="12"/>
      <c r="Y14" s="12"/>
      <c r="AV14" s="240"/>
      <c r="BB14" s="12"/>
      <c r="BJ14" s="26"/>
      <c r="BP14" s="12"/>
      <c r="BT14" s="75"/>
      <c r="BU14" s="73"/>
      <c r="BV14" s="27"/>
      <c r="BW14" s="27"/>
      <c r="BY14" s="12"/>
      <c r="CF14" s="73"/>
      <c r="CG14" s="27"/>
      <c r="CH14" s="27"/>
      <c r="CI14" s="27"/>
      <c r="CJ14" s="27"/>
      <c r="CK14" s="27"/>
      <c r="CL14" s="27"/>
      <c r="CM14" s="27"/>
      <c r="CN14" s="27"/>
      <c r="CO14" s="27"/>
      <c r="CP14" s="27"/>
      <c r="CQ14" s="27"/>
      <c r="CR14" s="27"/>
      <c r="CS14" s="27"/>
    </row>
    <row r="15" spans="1:519" ht="12.75" hidden="1" customHeight="1" x14ac:dyDescent="0.35">
      <c r="A15" s="27"/>
      <c r="Q15" s="12"/>
      <c r="U15" s="15"/>
      <c r="X15" s="12"/>
      <c r="Y15" s="12"/>
      <c r="AV15" s="240"/>
      <c r="BB15" s="12"/>
      <c r="BJ15" s="26"/>
      <c r="BP15" s="12"/>
      <c r="BT15" s="75"/>
      <c r="BU15" s="73"/>
      <c r="BV15" s="27"/>
      <c r="BW15" s="27"/>
      <c r="BY15" s="12"/>
      <c r="CF15" s="73"/>
      <c r="CG15" s="27"/>
      <c r="CH15" s="27"/>
      <c r="CI15" s="27"/>
      <c r="CJ15" s="27"/>
      <c r="CK15" s="27"/>
      <c r="CL15" s="27"/>
      <c r="CM15" s="27"/>
      <c r="CN15" s="27"/>
      <c r="CO15" s="27"/>
      <c r="CP15" s="27"/>
      <c r="CQ15" s="27"/>
      <c r="CR15" s="27"/>
      <c r="CS15" s="27"/>
    </row>
    <row r="16" spans="1:519" ht="12.75" hidden="1" customHeight="1" x14ac:dyDescent="0.35">
      <c r="A16" s="27"/>
      <c r="Q16" s="12"/>
      <c r="U16" s="15"/>
      <c r="X16" s="12"/>
      <c r="Y16" s="12"/>
      <c r="AV16" s="43"/>
      <c r="AW16" s="13"/>
      <c r="AX16" s="13"/>
      <c r="AY16" s="13"/>
      <c r="AZ16" s="13"/>
      <c r="BA16" s="13"/>
      <c r="BB16" s="13"/>
      <c r="BC16" s="13"/>
      <c r="BD16" s="13"/>
      <c r="BE16" s="13"/>
      <c r="BF16" s="13"/>
      <c r="BG16" s="13"/>
      <c r="BH16" s="13"/>
      <c r="BI16" s="13"/>
      <c r="BJ16" s="26"/>
      <c r="BN16" s="44" t="s">
        <v>17</v>
      </c>
      <c r="BO16" s="45"/>
      <c r="BP16" s="46">
        <f>G18</f>
        <v>10</v>
      </c>
      <c r="BT16" s="75"/>
      <c r="BU16" s="73"/>
      <c r="BV16" s="27"/>
      <c r="BW16" s="27"/>
      <c r="BY16" s="12"/>
      <c r="CF16" s="73"/>
      <c r="CG16" s="27"/>
      <c r="CH16" s="27"/>
      <c r="CI16" s="27"/>
      <c r="CJ16" s="27"/>
      <c r="CK16" s="27"/>
      <c r="CL16" s="27"/>
      <c r="CM16" s="27"/>
      <c r="CN16" s="27"/>
      <c r="CO16" s="27"/>
      <c r="CP16" s="27"/>
      <c r="CQ16" s="27"/>
      <c r="CR16" s="27"/>
      <c r="CS16" s="27"/>
    </row>
    <row r="17" spans="1:115" ht="12.75" hidden="1" customHeight="1" x14ac:dyDescent="0.35">
      <c r="A17" s="27"/>
      <c r="H17" s="13"/>
      <c r="Q17" s="12"/>
      <c r="U17" s="15"/>
      <c r="X17" s="12"/>
      <c r="Y17" s="12"/>
      <c r="AV17" s="240"/>
      <c r="BB17" s="12"/>
      <c r="BJ17" s="26"/>
      <c r="BN17" s="47" t="s">
        <v>15</v>
      </c>
      <c r="BO17" s="48"/>
      <c r="BP17" s="49">
        <f>SUBTOTAL(2,BP28:BP67)</f>
        <v>10</v>
      </c>
      <c r="BT17" s="75"/>
      <c r="BU17" s="73"/>
      <c r="BV17" s="27"/>
      <c r="BW17" s="27"/>
      <c r="BY17" s="12"/>
      <c r="CD17" s="13"/>
      <c r="CF17" s="73"/>
      <c r="CG17" s="27"/>
      <c r="CH17" s="27"/>
      <c r="CI17" s="27"/>
      <c r="CJ17" s="27"/>
      <c r="CK17" s="27"/>
      <c r="CL17" s="27"/>
      <c r="CM17" s="27"/>
      <c r="CN17" s="27"/>
      <c r="CO17" s="27"/>
      <c r="CP17" s="27"/>
      <c r="CQ17" s="27"/>
      <c r="CR17" s="27"/>
      <c r="CS17" s="27"/>
    </row>
    <row r="18" spans="1:115" ht="27" customHeight="1" x14ac:dyDescent="0.45">
      <c r="A18" s="27"/>
      <c r="B18" s="363"/>
      <c r="C18" s="376"/>
      <c r="D18" s="531" t="s">
        <v>13</v>
      </c>
      <c r="E18" s="532"/>
      <c r="F18" s="533"/>
      <c r="G18" s="425">
        <v>10</v>
      </c>
      <c r="H18" s="549" t="str">
        <f>IF(RowsPreferredTwo=RowsShownTwo,"
(as currently displayed)",IF(RowsPreferredTwo&lt;RowsFilledTwo,"The number entered will hide rows containing data. Try again.",IF(RowsPreferredTwo&lt;&gt;RowsShownTwo,"Click arrow beside 'ID' and select only '"&amp;RowsPreferredTwo&amp;"' from drop down list","")))</f>
        <v xml:space="preserve">
(as currently displayed)</v>
      </c>
      <c r="I18" s="549"/>
      <c r="J18" s="549"/>
      <c r="K18" s="549"/>
      <c r="L18" s="549"/>
      <c r="M18" s="549"/>
      <c r="N18" s="380"/>
      <c r="O18" s="380"/>
      <c r="P18" s="380"/>
      <c r="Q18" s="343"/>
      <c r="S18"/>
      <c r="T18"/>
      <c r="U18" s="15"/>
      <c r="X18" s="12"/>
      <c r="Y18" s="12"/>
      <c r="AV18" s="240"/>
      <c r="BB18" s="12"/>
      <c r="BJ18" s="26"/>
      <c r="BP18" s="12"/>
      <c r="BS18"/>
      <c r="BT18" s="75"/>
      <c r="BU18" s="73"/>
      <c r="BV18" s="27"/>
      <c r="BW18" s="276"/>
      <c r="BX18" s="276"/>
      <c r="BY18" s="382"/>
      <c r="BZ18" s="382"/>
      <c r="CA18" s="382"/>
      <c r="CB18" s="382"/>
      <c r="CC18" s="382"/>
      <c r="CD18" s="382"/>
      <c r="CE18" s="276"/>
      <c r="CF18" s="276"/>
      <c r="CG18" s="276"/>
      <c r="CH18" s="276"/>
      <c r="CI18" s="276"/>
      <c r="CJ18" s="276"/>
      <c r="CK18" s="276"/>
      <c r="CL18" s="276"/>
      <c r="CM18" s="276"/>
      <c r="CN18" s="276"/>
      <c r="CO18" s="276"/>
      <c r="CP18" s="276"/>
      <c r="CQ18" s="276"/>
      <c r="CR18" s="276"/>
      <c r="CS18" s="276"/>
    </row>
    <row r="19" spans="1:115" ht="23.25" customHeight="1" x14ac:dyDescent="0.45">
      <c r="A19" s="27"/>
      <c r="B19" s="343"/>
      <c r="C19" s="376"/>
      <c r="D19" s="363"/>
      <c r="E19" s="363"/>
      <c r="F19" s="363"/>
      <c r="G19" s="363"/>
      <c r="H19" s="363"/>
      <c r="I19" s="363"/>
      <c r="J19" s="381"/>
      <c r="K19" s="381"/>
      <c r="L19" s="381"/>
      <c r="M19" s="381"/>
      <c r="N19" s="380"/>
      <c r="O19" s="380"/>
      <c r="P19" s="380"/>
      <c r="Q19" s="343"/>
      <c r="U19" s="15"/>
      <c r="X19" s="12"/>
      <c r="Y19" s="12"/>
      <c r="AV19" s="240"/>
      <c r="BB19" s="12"/>
      <c r="BJ19" s="26"/>
      <c r="BP19" s="12"/>
      <c r="BS19"/>
      <c r="BT19" s="58"/>
      <c r="BU19" s="73"/>
      <c r="BV19" s="27"/>
      <c r="BW19" s="276"/>
      <c r="BX19" s="276"/>
      <c r="BY19" s="363"/>
      <c r="BZ19" s="363"/>
      <c r="CA19" s="363"/>
      <c r="CB19" s="363"/>
      <c r="CC19" s="363"/>
      <c r="CD19" s="363"/>
      <c r="CE19" s="276"/>
      <c r="CF19" s="276"/>
      <c r="CG19" s="276"/>
      <c r="CH19" s="276"/>
      <c r="CI19" s="276"/>
      <c r="CJ19" s="276"/>
      <c r="CK19" s="276"/>
      <c r="CL19" s="276"/>
      <c r="CM19" s="276"/>
      <c r="CN19" s="276"/>
      <c r="CO19" s="276"/>
      <c r="CP19" s="276"/>
      <c r="CQ19" s="276"/>
      <c r="CR19" s="276"/>
      <c r="CS19" s="276"/>
    </row>
    <row r="20" spans="1:115" ht="3.95" customHeight="1" x14ac:dyDescent="0.45">
      <c r="A20" s="27"/>
      <c r="B20" s="348"/>
      <c r="C20" s="376"/>
      <c r="D20" s="363"/>
      <c r="E20" s="363"/>
      <c r="F20" s="363"/>
      <c r="G20" s="363"/>
      <c r="H20" s="363"/>
      <c r="I20" s="363"/>
      <c r="J20" s="381"/>
      <c r="K20" s="381"/>
      <c r="L20" s="381"/>
      <c r="M20" s="381"/>
      <c r="N20" s="377"/>
      <c r="O20" s="377"/>
      <c r="P20" s="377"/>
      <c r="Q20" s="343"/>
      <c r="U20" s="15"/>
      <c r="X20" s="12"/>
      <c r="Y20" s="12"/>
      <c r="AV20" s="240"/>
      <c r="BB20" s="12"/>
      <c r="BJ20" s="26"/>
      <c r="BP20" s="12"/>
      <c r="BS20"/>
      <c r="BT20" s="58"/>
      <c r="BU20" s="73"/>
      <c r="BV20" s="27"/>
      <c r="BW20" s="276"/>
      <c r="BX20" s="276"/>
      <c r="BY20" s="363"/>
      <c r="BZ20" s="363"/>
      <c r="CA20" s="363"/>
      <c r="CB20" s="363"/>
      <c r="CC20" s="363"/>
      <c r="CD20" s="363"/>
      <c r="CE20" s="276"/>
      <c r="CF20" s="276"/>
      <c r="CG20" s="276"/>
      <c r="CH20" s="276"/>
      <c r="CI20" s="276"/>
      <c r="CJ20" s="276"/>
      <c r="CK20" s="276"/>
      <c r="CL20" s="276"/>
      <c r="CM20" s="276"/>
      <c r="CN20" s="276"/>
      <c r="CO20" s="276"/>
      <c r="CP20" s="276"/>
      <c r="CQ20" s="276"/>
      <c r="CR20" s="276"/>
      <c r="CS20" s="276"/>
    </row>
    <row r="21" spans="1:115" ht="12.95" customHeight="1" x14ac:dyDescent="0.45">
      <c r="A21" s="27"/>
      <c r="B21" s="348"/>
      <c r="C21" s="376"/>
      <c r="D21" s="363"/>
      <c r="E21" s="363"/>
      <c r="F21" s="363"/>
      <c r="G21" s="363"/>
      <c r="H21" s="363"/>
      <c r="I21" s="363"/>
      <c r="J21" s="381"/>
      <c r="K21" s="381"/>
      <c r="L21" s="381"/>
      <c r="M21" s="381"/>
      <c r="N21" s="546"/>
      <c r="O21" s="546"/>
      <c r="P21" s="546"/>
      <c r="Q21" s="343"/>
      <c r="U21" s="15"/>
      <c r="X21" s="12"/>
      <c r="Y21" s="12"/>
      <c r="AV21" s="240"/>
      <c r="BB21" s="12"/>
      <c r="BJ21" s="26"/>
      <c r="BL21" s="174" t="s">
        <v>216</v>
      </c>
      <c r="BP21" s="12"/>
      <c r="BS21"/>
      <c r="BT21" s="58"/>
      <c r="BU21" s="73"/>
      <c r="BV21" s="27"/>
      <c r="BW21" s="276"/>
      <c r="BX21" s="276"/>
      <c r="BY21" s="363"/>
      <c r="BZ21" s="363"/>
      <c r="CA21" s="363"/>
      <c r="CB21" s="363"/>
      <c r="CC21" s="363"/>
      <c r="CD21" s="363"/>
      <c r="CE21" s="276"/>
      <c r="CF21" s="276"/>
      <c r="CG21" s="276"/>
      <c r="CH21" s="276"/>
      <c r="CI21" s="276"/>
      <c r="CJ21" s="276"/>
      <c r="CK21" s="276"/>
      <c r="CL21" s="276"/>
      <c r="CM21" s="276"/>
      <c r="CN21" s="276"/>
      <c r="CO21" s="276"/>
      <c r="CP21" s="276"/>
      <c r="CQ21" s="276"/>
      <c r="CR21" s="276"/>
      <c r="CS21" s="276"/>
      <c r="CT21" s="118"/>
      <c r="CU21" s="124"/>
    </row>
    <row r="22" spans="1:115" ht="12.95" customHeight="1" x14ac:dyDescent="0.45">
      <c r="A22" s="27"/>
      <c r="B22" s="348"/>
      <c r="C22" s="376"/>
      <c r="D22" s="363"/>
      <c r="E22" s="363"/>
      <c r="F22" s="363"/>
      <c r="G22" s="363"/>
      <c r="H22" s="363"/>
      <c r="I22" s="363"/>
      <c r="J22" s="381"/>
      <c r="K22" s="381"/>
      <c r="L22" s="381"/>
      <c r="M22" s="381"/>
      <c r="N22" s="546"/>
      <c r="O22" s="546"/>
      <c r="P22" s="546"/>
      <c r="Q22" s="343"/>
      <c r="U22" s="201"/>
      <c r="X22" s="12"/>
      <c r="Y22" s="12"/>
      <c r="AN22" s="198">
        <f>COUNTIF(AN28:AN67,TRUE)</f>
        <v>10</v>
      </c>
      <c r="AO22" s="202" t="s">
        <v>241</v>
      </c>
      <c r="AV22" s="240"/>
      <c r="BB22" s="12"/>
      <c r="BJ22" s="26"/>
      <c r="BL22" s="175">
        <v>2</v>
      </c>
      <c r="BP22" s="12"/>
      <c r="BS22"/>
      <c r="BT22" s="58"/>
      <c r="BU22" s="73"/>
      <c r="BV22" s="27"/>
      <c r="BW22" s="276"/>
      <c r="BX22" s="276"/>
      <c r="BY22" s="363"/>
      <c r="BZ22" s="363"/>
      <c r="CA22" s="363"/>
      <c r="CB22" s="363"/>
      <c r="CC22" s="363"/>
      <c r="CD22" s="363"/>
      <c r="CE22" s="276"/>
      <c r="CF22" s="276"/>
      <c r="CG22" s="276"/>
      <c r="CH22" s="276"/>
      <c r="CI22" s="276"/>
      <c r="CJ22" s="276"/>
      <c r="CK22" s="276"/>
      <c r="CL22" s="276"/>
      <c r="CM22" s="276"/>
      <c r="CN22" s="276"/>
      <c r="CO22" s="276"/>
      <c r="CP22" s="276"/>
      <c r="CQ22" s="276"/>
      <c r="CR22" s="276"/>
      <c r="CS22" s="276"/>
    </row>
    <row r="23" spans="1:115" ht="6" customHeight="1" x14ac:dyDescent="0.35">
      <c r="A23" s="27"/>
      <c r="B23" s="280"/>
      <c r="C23" s="277"/>
      <c r="D23" s="276"/>
      <c r="E23" s="276"/>
      <c r="F23" s="276"/>
      <c r="G23" s="276"/>
      <c r="H23" s="276"/>
      <c r="I23" s="276"/>
      <c r="J23" s="279"/>
      <c r="K23" s="279"/>
      <c r="L23" s="279"/>
      <c r="M23" s="279"/>
      <c r="N23" s="276"/>
      <c r="O23" s="276"/>
      <c r="P23" s="276"/>
      <c r="Q23" s="284"/>
      <c r="U23" s="15"/>
      <c r="X23" s="12"/>
      <c r="Y23" s="12"/>
      <c r="AV23" s="240"/>
      <c r="BB23" s="12"/>
      <c r="BJ23" s="26"/>
      <c r="BP23" s="12"/>
      <c r="BS23"/>
      <c r="BT23" s="58"/>
      <c r="BU23" s="73"/>
      <c r="BV23" s="27"/>
      <c r="BW23" s="276"/>
      <c r="BX23" s="276"/>
      <c r="BY23" s="276"/>
      <c r="BZ23" s="276"/>
      <c r="CA23" s="276"/>
      <c r="CB23" s="276"/>
      <c r="CC23" s="276"/>
      <c r="CD23" s="276"/>
      <c r="CE23" s="276"/>
      <c r="CF23" s="276"/>
      <c r="CG23" s="276"/>
      <c r="CH23" s="276"/>
      <c r="CI23" s="276"/>
      <c r="CJ23" s="276"/>
      <c r="CK23" s="276"/>
      <c r="CL23" s="276"/>
      <c r="CM23" s="276"/>
      <c r="CN23" s="276"/>
      <c r="CO23" s="276"/>
      <c r="CP23" s="276"/>
      <c r="CQ23" s="276"/>
      <c r="CR23" s="276"/>
      <c r="CS23" s="276"/>
    </row>
    <row r="24" spans="1:115" ht="39" customHeight="1" x14ac:dyDescent="0.45">
      <c r="A24" s="27"/>
      <c r="B24" s="297"/>
      <c r="C24" s="298"/>
      <c r="D24" s="547" t="s">
        <v>4</v>
      </c>
      <c r="E24" s="489" t="s">
        <v>81</v>
      </c>
      <c r="F24" s="489" t="s">
        <v>48</v>
      </c>
      <c r="G24" s="489" t="s">
        <v>191</v>
      </c>
      <c r="H24" s="489" t="s">
        <v>0</v>
      </c>
      <c r="I24" s="539"/>
      <c r="J24" s="538" t="s">
        <v>370</v>
      </c>
      <c r="K24" s="489"/>
      <c r="L24" s="489"/>
      <c r="M24" s="489"/>
      <c r="N24" s="547" t="str">
        <f ca="1">IFERROR(IF($J$110="Green","SATISFIES PART 3.12.5.5",IF($J$111="Red","PART 3.12.5.5 NOT SATISFIED","CALCULATED OUTCOMES")),"CALCULATED OUTCOMES")</f>
        <v>CALCULATED OUTCOMES</v>
      </c>
      <c r="O24" s="552"/>
      <c r="P24" s="553"/>
      <c r="Q24" s="343"/>
      <c r="R24" s="495" t="s">
        <v>1</v>
      </c>
      <c r="S24" s="470" t="s">
        <v>23</v>
      </c>
      <c r="T24" s="470" t="s">
        <v>24</v>
      </c>
      <c r="U24" s="535" t="s">
        <v>34</v>
      </c>
      <c r="V24" s="507" t="s">
        <v>111</v>
      </c>
      <c r="W24" s="508"/>
      <c r="X24" s="515"/>
      <c r="Y24" s="515"/>
      <c r="Z24" s="516"/>
      <c r="AA24" s="513" t="s">
        <v>112</v>
      </c>
      <c r="AB24" s="514"/>
      <c r="AC24" s="515"/>
      <c r="AD24" s="515"/>
      <c r="AE24" s="516"/>
      <c r="AF24" s="507" t="s">
        <v>113</v>
      </c>
      <c r="AG24" s="508"/>
      <c r="AH24" s="508"/>
      <c r="AI24" s="508"/>
      <c r="AJ24" s="509"/>
      <c r="AK24" s="470" t="s">
        <v>59</v>
      </c>
      <c r="AL24" s="563" t="s">
        <v>343</v>
      </c>
      <c r="AM24" s="478" t="s">
        <v>92</v>
      </c>
      <c r="AN24" s="478" t="s">
        <v>94</v>
      </c>
      <c r="AO24" s="478" t="s">
        <v>96</v>
      </c>
      <c r="AP24" s="478" t="s">
        <v>95</v>
      </c>
      <c r="AQ24" s="478" t="s">
        <v>72</v>
      </c>
      <c r="AR24" s="513" t="s">
        <v>16</v>
      </c>
      <c r="AS24" s="556"/>
      <c r="AT24" s="497" t="s">
        <v>44</v>
      </c>
      <c r="AU24" s="498"/>
      <c r="AV24" s="534" t="s">
        <v>47</v>
      </c>
      <c r="AW24" s="480" t="s">
        <v>213</v>
      </c>
      <c r="AX24" s="534" t="s">
        <v>173</v>
      </c>
      <c r="AY24" s="520" t="s">
        <v>214</v>
      </c>
      <c r="AZ24" s="447" t="s">
        <v>86</v>
      </c>
      <c r="BA24" s="449" t="s">
        <v>80</v>
      </c>
      <c r="BB24" s="450"/>
      <c r="BC24" s="450"/>
      <c r="BD24" s="450"/>
      <c r="BE24" s="450"/>
      <c r="BF24" s="450"/>
      <c r="BG24" s="450"/>
      <c r="BH24" s="450"/>
      <c r="BI24" s="451"/>
      <c r="BJ24" s="504" t="s">
        <v>21</v>
      </c>
      <c r="BK24" s="523" t="s">
        <v>19</v>
      </c>
      <c r="BL24" s="492" t="s">
        <v>10</v>
      </c>
      <c r="BN24" s="559" t="s">
        <v>189</v>
      </c>
      <c r="BP24" s="12"/>
      <c r="BS24"/>
      <c r="BT24" s="58"/>
      <c r="BU24" s="74"/>
      <c r="BV24" s="27"/>
      <c r="BW24" s="276"/>
      <c r="BX24" s="282"/>
      <c r="BY24" s="573" t="s">
        <v>14</v>
      </c>
      <c r="BZ24" s="486" t="s">
        <v>4</v>
      </c>
      <c r="CA24" s="488" t="s">
        <v>0</v>
      </c>
      <c r="CB24" s="489" t="s">
        <v>365</v>
      </c>
      <c r="CC24" s="489" t="s">
        <v>33</v>
      </c>
      <c r="CD24" s="483" t="s">
        <v>366</v>
      </c>
      <c r="CE24" s="276"/>
      <c r="CF24" s="276"/>
      <c r="CG24" s="276"/>
      <c r="CH24" s="276"/>
      <c r="CI24" s="276"/>
      <c r="CJ24" s="276"/>
      <c r="CK24" s="276"/>
      <c r="CL24" s="276"/>
      <c r="CM24" s="276"/>
      <c r="CN24" s="276"/>
      <c r="CO24" s="276"/>
      <c r="CP24" s="276"/>
      <c r="CQ24" s="276"/>
      <c r="CR24" s="276"/>
      <c r="CS24" s="276"/>
      <c r="CU24" s="82" t="s">
        <v>180</v>
      </c>
      <c r="CW24" s="126" t="s">
        <v>190</v>
      </c>
    </row>
    <row r="25" spans="1:115" ht="45.75" customHeight="1" x14ac:dyDescent="0.45">
      <c r="A25" s="27"/>
      <c r="B25" s="299"/>
      <c r="C25" s="300"/>
      <c r="D25" s="540"/>
      <c r="E25" s="545"/>
      <c r="F25" s="548"/>
      <c r="G25" s="548"/>
      <c r="H25" s="490"/>
      <c r="I25" s="540"/>
      <c r="J25" s="543" t="s">
        <v>370</v>
      </c>
      <c r="K25" s="550" t="s">
        <v>295</v>
      </c>
      <c r="L25" s="550" t="str">
        <f>"Dimming % of Full Power"</f>
        <v>Dimming % of Full Power</v>
      </c>
      <c r="M25" s="550" t="str">
        <f>"Design Lumen Depreciation Factor"</f>
        <v>Design Lumen Depreciation Factor</v>
      </c>
      <c r="N25" s="465" t="s">
        <v>169</v>
      </c>
      <c r="O25" s="467"/>
      <c r="P25" s="468" t="s">
        <v>172</v>
      </c>
      <c r="Q25" s="343"/>
      <c r="R25" s="495"/>
      <c r="S25" s="471"/>
      <c r="T25" s="471"/>
      <c r="U25" s="536"/>
      <c r="V25" s="517"/>
      <c r="W25" s="518"/>
      <c r="X25" s="518"/>
      <c r="Y25" s="518"/>
      <c r="Z25" s="519"/>
      <c r="AA25" s="517"/>
      <c r="AB25" s="518"/>
      <c r="AC25" s="518"/>
      <c r="AD25" s="518"/>
      <c r="AE25" s="519"/>
      <c r="AF25" s="510"/>
      <c r="AG25" s="511"/>
      <c r="AH25" s="511"/>
      <c r="AI25" s="511"/>
      <c r="AJ25" s="512"/>
      <c r="AK25" s="474"/>
      <c r="AL25" s="564"/>
      <c r="AM25" s="479"/>
      <c r="AN25" s="479"/>
      <c r="AO25" s="479"/>
      <c r="AP25" s="479"/>
      <c r="AQ25" s="479"/>
      <c r="AR25" s="557"/>
      <c r="AS25" s="558"/>
      <c r="AT25" s="499"/>
      <c r="AU25" s="500"/>
      <c r="AV25" s="474"/>
      <c r="AW25" s="474"/>
      <c r="AX25" s="474"/>
      <c r="AY25" s="521"/>
      <c r="AZ25" s="526"/>
      <c r="BA25" s="449" t="s">
        <v>45</v>
      </c>
      <c r="BB25" s="451"/>
      <c r="BC25" s="501" t="s">
        <v>64</v>
      </c>
      <c r="BD25" s="502"/>
      <c r="BE25" s="502"/>
      <c r="BF25" s="568"/>
      <c r="BG25" s="501" t="s">
        <v>22</v>
      </c>
      <c r="BH25" s="502"/>
      <c r="BI25" s="503"/>
      <c r="BJ25" s="505"/>
      <c r="BK25" s="471"/>
      <c r="BL25" s="493"/>
      <c r="BN25" s="471"/>
      <c r="BP25" s="12">
        <f>SUBTOTAL(2,BP28:BP67)</f>
        <v>10</v>
      </c>
      <c r="BS25"/>
      <c r="BT25" s="58"/>
      <c r="BU25" s="74"/>
      <c r="BV25" s="27"/>
      <c r="BW25" s="276"/>
      <c r="BX25" s="276"/>
      <c r="BY25" s="574"/>
      <c r="BZ25" s="486"/>
      <c r="CA25" s="488"/>
      <c r="CB25" s="490"/>
      <c r="CC25" s="490"/>
      <c r="CD25" s="484"/>
      <c r="CE25" s="276"/>
      <c r="CF25" s="276"/>
      <c r="CG25" s="276"/>
      <c r="CH25" s="276"/>
      <c r="CI25" s="276"/>
      <c r="CJ25" s="276"/>
      <c r="CK25" s="276"/>
      <c r="CL25" s="276"/>
      <c r="CM25" s="276"/>
      <c r="CN25" s="276"/>
      <c r="CO25" s="276"/>
      <c r="CP25" s="276"/>
      <c r="CQ25" s="276"/>
      <c r="CR25" s="276"/>
      <c r="CS25" s="276"/>
      <c r="CU25" s="129" t="s">
        <v>187</v>
      </c>
      <c r="CV25" s="129"/>
      <c r="CW25" s="129"/>
      <c r="CX25" s="129"/>
      <c r="CY25" s="129"/>
      <c r="CZ25" s="129" t="s">
        <v>186</v>
      </c>
      <c r="DA25" s="129"/>
      <c r="DB25" s="129"/>
      <c r="DC25" s="129"/>
      <c r="DD25" s="129"/>
      <c r="DE25" s="129"/>
      <c r="DF25" s="129"/>
      <c r="DG25" s="129"/>
      <c r="DH25" s="129"/>
      <c r="DI25" s="129"/>
      <c r="DJ25" s="125">
        <f ca="1">SUM(DJ28:DJ67)</f>
        <v>1</v>
      </c>
      <c r="DK25" s="126" t="s">
        <v>181</v>
      </c>
    </row>
    <row r="26" spans="1:115" ht="25.5" customHeight="1" x14ac:dyDescent="0.45">
      <c r="A26" s="27"/>
      <c r="B26" s="301"/>
      <c r="C26" s="300"/>
      <c r="D26" s="540"/>
      <c r="E26" s="545"/>
      <c r="F26" s="548"/>
      <c r="G26" s="548"/>
      <c r="H26" s="490"/>
      <c r="I26" s="540"/>
      <c r="J26" s="543"/>
      <c r="K26" s="550"/>
      <c r="L26" s="550"/>
      <c r="M26" s="550"/>
      <c r="N26" s="465" t="s">
        <v>170</v>
      </c>
      <c r="O26" s="465" t="s">
        <v>171</v>
      </c>
      <c r="P26" s="468"/>
      <c r="Q26" s="343"/>
      <c r="R26" s="495"/>
      <c r="S26" s="471"/>
      <c r="T26" s="471"/>
      <c r="U26" s="536"/>
      <c r="V26" s="130" t="s">
        <v>115</v>
      </c>
      <c r="W26" s="147" t="s">
        <v>192</v>
      </c>
      <c r="X26" s="513" t="s">
        <v>45</v>
      </c>
      <c r="Y26" s="556"/>
      <c r="Z26" s="145" t="s">
        <v>226</v>
      </c>
      <c r="AA26" s="130" t="s">
        <v>115</v>
      </c>
      <c r="AB26" s="147" t="s">
        <v>192</v>
      </c>
      <c r="AC26" s="513" t="s">
        <v>45</v>
      </c>
      <c r="AD26" s="556"/>
      <c r="AE26" s="145" t="s">
        <v>226</v>
      </c>
      <c r="AF26" s="130" t="s">
        <v>115</v>
      </c>
      <c r="AG26" s="147" t="s">
        <v>192</v>
      </c>
      <c r="AH26" s="513" t="s">
        <v>45</v>
      </c>
      <c r="AI26" s="556"/>
      <c r="AJ26" s="145" t="s">
        <v>226</v>
      </c>
      <c r="AK26" s="474"/>
      <c r="AL26" s="564"/>
      <c r="AM26" s="479"/>
      <c r="AN26" s="479"/>
      <c r="AO26" s="479"/>
      <c r="AP26" s="479"/>
      <c r="AQ26" s="479"/>
      <c r="AR26" s="463" t="s">
        <v>7</v>
      </c>
      <c r="AS26" s="492" t="s">
        <v>8</v>
      </c>
      <c r="AT26" s="447" t="s">
        <v>45</v>
      </c>
      <c r="AU26" s="461" t="s">
        <v>46</v>
      </c>
      <c r="AV26" s="474"/>
      <c r="AW26" s="474"/>
      <c r="AX26" s="474"/>
      <c r="AY26" s="521"/>
      <c r="AZ26" s="526"/>
      <c r="BA26" s="452" t="s">
        <v>183</v>
      </c>
      <c r="BB26" s="452" t="s">
        <v>184</v>
      </c>
      <c r="BC26" s="454" t="s">
        <v>183</v>
      </c>
      <c r="BD26" s="456" t="s">
        <v>184</v>
      </c>
      <c r="BE26" s="454" t="s">
        <v>185</v>
      </c>
      <c r="BF26" s="458" t="s">
        <v>218</v>
      </c>
      <c r="BG26" s="454" t="s">
        <v>183</v>
      </c>
      <c r="BH26" s="456" t="s">
        <v>184</v>
      </c>
      <c r="BI26" s="456" t="s">
        <v>229</v>
      </c>
      <c r="BJ26" s="505"/>
      <c r="BK26" s="471"/>
      <c r="BL26" s="493"/>
      <c r="BN26" s="471"/>
      <c r="BP26" s="194" t="s">
        <v>238</v>
      </c>
      <c r="BS26"/>
      <c r="BT26" s="58"/>
      <c r="BU26" s="74"/>
      <c r="BV26" s="27"/>
      <c r="BW26" s="276"/>
      <c r="BX26" s="280"/>
      <c r="BY26" s="574"/>
      <c r="BZ26" s="486"/>
      <c r="CA26" s="488"/>
      <c r="CB26" s="490"/>
      <c r="CC26" s="490"/>
      <c r="CD26" s="484"/>
      <c r="CE26" s="276"/>
      <c r="CF26" s="276"/>
      <c r="CG26" s="276"/>
      <c r="CH26" s="276"/>
      <c r="CI26" s="276"/>
      <c r="CJ26" s="276"/>
      <c r="CK26" s="276"/>
      <c r="CL26" s="276"/>
      <c r="CM26" s="276"/>
      <c r="CN26" s="276"/>
      <c r="CO26" s="276"/>
      <c r="CP26" s="276"/>
      <c r="CQ26" s="276"/>
      <c r="CR26" s="276"/>
      <c r="CS26" s="276"/>
      <c r="CU26" s="164" t="s">
        <v>4</v>
      </c>
      <c r="CV26" s="164" t="s">
        <v>2</v>
      </c>
      <c r="CW26" s="164" t="s">
        <v>115</v>
      </c>
      <c r="CX26" s="164" t="s">
        <v>192</v>
      </c>
      <c r="CY26" s="165" t="s">
        <v>0</v>
      </c>
      <c r="CZ26" s="164" t="s">
        <v>211</v>
      </c>
      <c r="DA26" s="164" t="s">
        <v>210</v>
      </c>
      <c r="DB26" s="164" t="s">
        <v>212</v>
      </c>
      <c r="DC26" s="164" t="s">
        <v>344</v>
      </c>
      <c r="DD26" s="164" t="s">
        <v>345</v>
      </c>
      <c r="DE26" s="164" t="s">
        <v>346</v>
      </c>
      <c r="DF26" s="266" t="s">
        <v>347</v>
      </c>
      <c r="DG26" s="266" t="s">
        <v>348</v>
      </c>
      <c r="DH26" s="269" t="s">
        <v>349</v>
      </c>
      <c r="DI26" s="270" t="s">
        <v>350</v>
      </c>
      <c r="DJ26" s="127" t="s">
        <v>182</v>
      </c>
      <c r="DK26" s="166" t="s">
        <v>208</v>
      </c>
    </row>
    <row r="27" spans="1:115" ht="19.5" customHeight="1" x14ac:dyDescent="0.45">
      <c r="A27" s="27"/>
      <c r="B27" s="302"/>
      <c r="C27" s="303" t="s">
        <v>14</v>
      </c>
      <c r="D27" s="373"/>
      <c r="E27" s="373"/>
      <c r="F27" s="374"/>
      <c r="G27" s="375"/>
      <c r="H27" s="541"/>
      <c r="I27" s="542"/>
      <c r="J27" s="544"/>
      <c r="K27" s="551"/>
      <c r="L27" s="551"/>
      <c r="M27" s="551"/>
      <c r="N27" s="466"/>
      <c r="O27" s="466"/>
      <c r="P27" s="469"/>
      <c r="Q27" s="343"/>
      <c r="R27" s="496"/>
      <c r="S27" s="472"/>
      <c r="T27" s="473"/>
      <c r="U27" s="537"/>
      <c r="V27" s="138"/>
      <c r="W27" s="138"/>
      <c r="X27" s="146" t="s">
        <v>188</v>
      </c>
      <c r="Y27" s="146" t="s">
        <v>228</v>
      </c>
      <c r="Z27" s="131"/>
      <c r="AA27" s="138"/>
      <c r="AB27" s="138"/>
      <c r="AC27" s="146" t="s">
        <v>188</v>
      </c>
      <c r="AD27" s="146" t="s">
        <v>228</v>
      </c>
      <c r="AE27" s="144"/>
      <c r="AF27" s="131"/>
      <c r="AG27" s="138"/>
      <c r="AH27" s="146" t="s">
        <v>188</v>
      </c>
      <c r="AI27" s="146" t="s">
        <v>228</v>
      </c>
      <c r="AJ27" s="144"/>
      <c r="AK27" s="448"/>
      <c r="AL27" s="565"/>
      <c r="AM27" s="472"/>
      <c r="AN27" s="472"/>
      <c r="AO27" s="472"/>
      <c r="AP27" s="472"/>
      <c r="AQ27" s="472"/>
      <c r="AR27" s="464"/>
      <c r="AS27" s="525"/>
      <c r="AT27" s="448"/>
      <c r="AU27" s="462"/>
      <c r="AV27" s="448"/>
      <c r="AW27" s="448"/>
      <c r="AX27" s="448"/>
      <c r="AY27" s="522"/>
      <c r="AZ27" s="527"/>
      <c r="BA27" s="453"/>
      <c r="BB27" s="460"/>
      <c r="BC27" s="455"/>
      <c r="BD27" s="455"/>
      <c r="BE27" s="455"/>
      <c r="BF27" s="459"/>
      <c r="BG27" s="455"/>
      <c r="BH27" s="457"/>
      <c r="BI27" s="455"/>
      <c r="BJ27" s="506"/>
      <c r="BK27" s="524"/>
      <c r="BL27" s="494"/>
      <c r="BN27" s="560"/>
      <c r="BP27" s="18" t="s">
        <v>11</v>
      </c>
      <c r="BQ27" s="122" t="s">
        <v>12</v>
      </c>
      <c r="BS27"/>
      <c r="BT27" s="58"/>
      <c r="BU27" s="73"/>
      <c r="BV27" s="59"/>
      <c r="BW27" s="280"/>
      <c r="BX27" s="276"/>
      <c r="BY27" s="575"/>
      <c r="BZ27" s="487"/>
      <c r="CA27" s="487"/>
      <c r="CB27" s="491"/>
      <c r="CC27" s="491"/>
      <c r="CD27" s="485"/>
      <c r="CE27" s="276"/>
      <c r="CF27" s="280"/>
      <c r="CG27" s="280"/>
      <c r="CH27" s="280"/>
      <c r="CI27" s="276"/>
      <c r="CJ27" s="276"/>
      <c r="CK27" s="276"/>
      <c r="CL27" s="276"/>
      <c r="CM27" s="276"/>
      <c r="CN27" s="276"/>
      <c r="CO27" s="276"/>
      <c r="CP27" s="276"/>
      <c r="CQ27" s="276"/>
      <c r="CR27" s="276"/>
      <c r="CS27" s="276"/>
      <c r="CY27" s="167"/>
      <c r="DF27" s="268"/>
      <c r="DG27" s="13"/>
      <c r="DH27" s="13"/>
      <c r="DI27" s="128"/>
      <c r="DJ27" s="168"/>
      <c r="DK27" s="168"/>
    </row>
    <row r="28" spans="1:115" ht="17.649999999999999" x14ac:dyDescent="0.5">
      <c r="A28" s="196"/>
      <c r="B28" s="415">
        <f t="shared" ref="B28:B67" si="0">BQ28</f>
        <v>10</v>
      </c>
      <c r="C28" s="342">
        <v>1</v>
      </c>
      <c r="D28" s="420" t="s">
        <v>401</v>
      </c>
      <c r="E28" s="421" t="s">
        <v>200</v>
      </c>
      <c r="F28" s="422">
        <v>20</v>
      </c>
      <c r="G28" s="423">
        <v>75</v>
      </c>
      <c r="H28" s="530" t="s">
        <v>407</v>
      </c>
      <c r="I28" s="530"/>
      <c r="J28" s="424"/>
      <c r="K28" s="428">
        <v>0.85</v>
      </c>
      <c r="L28" s="428"/>
      <c r="M28" s="429"/>
      <c r="N28" s="418" t="str">
        <f t="shared" ref="N28:N67" si="1">AT28</f>
        <v/>
      </c>
      <c r="O28" s="418" t="str">
        <f>AU28</f>
        <v/>
      </c>
      <c r="P28" s="419" t="str">
        <f t="shared" ref="P28:P67" si="2">BL28</f>
        <v/>
      </c>
      <c r="Q28" s="343"/>
      <c r="R28" s="67" t="str">
        <f t="shared" ref="R28:R67" si="3">IF(ISNUMBER(M28),M28,IF(ISNUMBER(L28),L28/0.95,IF(ISTEXT(J28),VLOOKUP(J28,IF(OR(ClassificationTwo=Class1,ClassificationTwo=Class10),AfactorsTwo,Afactors),2,TRUE),"")))</f>
        <v/>
      </c>
      <c r="S28" s="20" t="b">
        <f t="shared" ref="S28:S67" si="4">ISNUMBER(R28)</f>
        <v>0</v>
      </c>
      <c r="T28" s="19" t="str">
        <f>IF(OR(ISNUMBER(R28)),SMALL(R28:R28,1),"")</f>
        <v/>
      </c>
      <c r="U28" s="19">
        <f t="shared" ref="U28:U67" si="5">IF(S28,CB28/R28,CB28)</f>
        <v>5</v>
      </c>
      <c r="V28" s="179">
        <f t="shared" ref="V28:V67" si="6">IF(OR($H28=$H$86,$H28=$H$87,$H28=$H$88),$F28,0)</f>
        <v>20</v>
      </c>
      <c r="W28" s="180">
        <f>IF(V28&gt;0,$G28,0)</f>
        <v>75</v>
      </c>
      <c r="X28" s="180" t="str">
        <f>IF(V28&gt;0,$N28,0)</f>
        <v/>
      </c>
      <c r="Y28" s="180" t="e">
        <f t="shared" ref="Y28:Y67" si="7">V28*X28</f>
        <v>#VALUE!</v>
      </c>
      <c r="Z28" s="181" t="str">
        <f>IF(V28&gt;0,$O28,0)</f>
        <v/>
      </c>
      <c r="AA28" s="179">
        <f t="shared" ref="AA28:AA67" si="8">IF($H28=$H$89,$F28,0)</f>
        <v>0</v>
      </c>
      <c r="AB28" s="180">
        <f>IF(AA28&gt;0,$G28,0)</f>
        <v>0</v>
      </c>
      <c r="AC28" s="180">
        <f>IF(AA28&gt;0,$N28,0)</f>
        <v>0</v>
      </c>
      <c r="AD28" s="180">
        <f>AA28*AC28</f>
        <v>0</v>
      </c>
      <c r="AE28" s="181">
        <f>IF(AA28&gt;0,$O28,0)</f>
        <v>0</v>
      </c>
      <c r="AF28" s="179">
        <f t="shared" ref="AF28:AF67" si="9">IF($H28=$H$90,$F28,0)</f>
        <v>0</v>
      </c>
      <c r="AG28" s="180">
        <f>IF(AF28&gt;0,$G28,0)</f>
        <v>0</v>
      </c>
      <c r="AH28" s="180">
        <f>IF(AF28&gt;0,$N28,0)</f>
        <v>0</v>
      </c>
      <c r="AI28" s="180">
        <f>AF28*AH28</f>
        <v>0</v>
      </c>
      <c r="AJ28" s="181">
        <f>IF(AF28&gt;0,$O28,0)</f>
        <v>0</v>
      </c>
      <c r="AK28" s="184" t="b">
        <f t="shared" ref="AK28:AK67" si="10">OR(NOT(COUNTBLANK(D28:H28)&gt;0),COUNTBLANK(D28:H28)=5)</f>
        <v>1</v>
      </c>
      <c r="AL28" s="265" t="b">
        <f t="shared" ref="AL28:AL67" si="11">IF(OR(ISBLANK(ClassificationTwo)),FALSE,IF(OR(COUNTBLANK(J28:M28)=4,AND(VLOOKUP(J28,AfactorsTwo,3,FALSE),COUNTBLANK(K28:M28)=3),AND(J28=V2ProgDim,ISNUMBER(K28)),AND(J28=V2ManualDim,ISNUMBER(K28)),AND(J28=V2FixedDim,ISNUMBER(K28),ISNUMBER(L28)),AND(J28=V2LumenDepFactor,ISNUMBER(M28))),TRUE,FALSE))</f>
        <v>0</v>
      </c>
      <c r="AM28" s="21" t="b">
        <f t="shared" ref="AM28:AM67" si="12">IF(ISTEXT(E28),VLOOKUP(E28,TypeofSpaceres,3,FALSE),"")</f>
        <v>0</v>
      </c>
      <c r="AN28" s="21" t="b">
        <f t="shared" ref="AN28:AN67" si="13">NOT(COUNTBLANK(D28:H28)=5)</f>
        <v>1</v>
      </c>
      <c r="AO28" s="186" t="b">
        <f>IF(OR(COUNTBLANK(D28:I28)=6,AND(COUNTBLANK(D28:G28)=4,H28=0)),OR(AN29:AN$67),NOT(AN28))</f>
        <v>0</v>
      </c>
      <c r="AP28" s="21" t="b">
        <f t="shared" ref="AP28:AP67" si="14">OR(COUNTBLANK(D28:I28)=6,AND(COUNTBLANK(D28:G28)=4,H28=0))</f>
        <v>0</v>
      </c>
      <c r="AQ28" s="21" t="b">
        <f>AND(AK28,AL28)</f>
        <v>0</v>
      </c>
      <c r="AR28" s="22">
        <f t="shared" ref="AR28:AR67" si="15">G28</f>
        <v>75</v>
      </c>
      <c r="AS28" s="22" t="str">
        <f t="shared" ref="AS28:AS67" si="16">N28</f>
        <v/>
      </c>
      <c r="AT28" s="199" t="str">
        <f>IF(AQ28,IF(ISNUMBER(U28),ROUND(U28,1),U28),"")</f>
        <v/>
      </c>
      <c r="AU28" s="200" t="str">
        <f t="shared" ref="AU28:AU67" si="17">IF(AND(AQ28,AN28,Allinputsokres),ROUND(G28/F28,1),"")</f>
        <v/>
      </c>
      <c r="AV28" s="68" t="str">
        <f t="shared" ref="AV28:AV67" si="18">IF(CU28&lt;&gt;"OK",CU28,IF(CV28&lt;&gt;"OK",CV28,IF(CW28&lt;&gt;"OK",CW28,IF(CX28&lt;&gt;"OK",CX28,IF(CY28&lt;&gt;"OK",CY28,AX28)))))</f>
        <v>Adjustment Factor is missing or inappropriate</v>
      </c>
      <c r="AW28" s="169"/>
      <c r="AX28" s="68" t="str">
        <f>IF(DI28&lt;&gt;"OK",DI28,IF(DE28&lt;&gt;"OK",DE28,IF(DB28&lt;&gt;"OK",DB28,IF(DC28&lt;&gt;"OK",DC28,IF(DD28&lt;&gt;"OK",DD28,IF(DA28&lt;&gt;"OK",DA28,IF(DF28&lt;&gt;"OK",DF28,IF(DG28&lt;&gt;"OK",DG28,IF(DH28&lt;&gt;"OK",DH28,IF(CZ28&lt;&gt;"OK",CZ28,""))))))))))</f>
        <v>Adjustment Factor is missing or inappropriate</v>
      </c>
      <c r="AY28" s="475" t="str">
        <f ca="1">IF(BN71&lt;&gt;"OK","Classification and highlighted Location entries are not compatible","")</f>
        <v/>
      </c>
      <c r="AZ28" s="475" t="b">
        <f>FALSE</f>
        <v>0</v>
      </c>
      <c r="BA28" s="189" t="b">
        <f t="shared" ref="BA28:BA67" ca="1" si="19">AND(AQ28,AN28,NOT(AP28),InputIssuesTwo=0,AU28&lt;=AT28,BK28&lt;=1)</f>
        <v>0</v>
      </c>
      <c r="BB28" s="190" t="b">
        <f t="shared" ref="BB28:BB67" ca="1" si="20">AND(AQ28,AN28,NOT(AP28),InputIssuesTwo=0,AU28&gt;AT28,BK28&gt;1)</f>
        <v>0</v>
      </c>
      <c r="BC28" s="191" t="b">
        <f t="shared" ref="BC28:BC67" ca="1" si="21">AND(AQ28,InputIssuesTwo=0,TopInputsOKTwo,AND(AN28,AU28&lt;=AT28,BK28&lt;=1))</f>
        <v>0</v>
      </c>
      <c r="BD28" s="189" t="b">
        <f t="shared" ref="BD28:BD67" ca="1" si="22">AND(AQ28,InputIssuesTwo=0,TopInputsOKTwo,AU28&gt;AT28,BK28&gt;1)</f>
        <v>0</v>
      </c>
      <c r="BE28" s="189" t="b">
        <f t="shared" ref="BE28:BE67" ca="1" si="23">AND(AQ28,InputIssuesTwo=0,TopInputsOKTwo,AU28&lt;=AT28,BK28&gt;1)</f>
        <v>0</v>
      </c>
      <c r="BF28" s="190" t="b">
        <f t="shared" ref="BF28:BF67" ca="1" si="24">AND(InputIssuesTwo=0,TopInputsOKTwo,AU28&gt;AT28,BK28&lt;=1)</f>
        <v>0</v>
      </c>
      <c r="BG28" s="191" t="b">
        <f t="shared" ref="BG28:BG67" ca="1" si="25">AND(AN28,AQ28,InputIssuesTwo=0,TopInputsOKTwo,OR(IF(H28=$H$86,PassClass1,IF(H28=$H$87,PassClass1,IF(H28=$H$88,PassClass1,IF(H28=$H$89,PassBalcony,IF(H28=$H$90,PassClass10,"FALSE")))))))</f>
        <v>0</v>
      </c>
      <c r="BH28" s="189" t="b">
        <f t="shared" ref="BH28:BH67" ca="1" si="26">AND(AK28,AL28,NOT(AP28),AQ28,InputIssuesTwo=0,TopInputsOKTwo,IF(H28=$H$86,FailClass1,IF(H28=$H$87,FailClass1,IF(H28=$H$88,FailClass1,IF(H28=$H$89,FailBalcony,IF(H28=$H$90,FailClass10,"FALSE"))))))</f>
        <v>0</v>
      </c>
      <c r="BI28" s="190" t="b">
        <f ca="1">DJ28&gt;0</f>
        <v>1</v>
      </c>
      <c r="BJ28" s="192" t="b">
        <f t="shared" ref="BJ28:BJ67" si="27">IF(AND(AQ28,AN28),IF(H28=$H$86,O28/TotalAllowClass1,IF(H28=$H$87,O28/TotalAllowClass1,IF(H28=$H$88,O28/TotalAllowClass1,IF(H28=$H$89,O28/TotalAllowBalc,IF(H28=$H$90,O28/TotalAllowClass10,""))))))</f>
        <v>0</v>
      </c>
      <c r="BK28" s="193" t="b">
        <f t="shared" ref="BK28:BK67" si="28">IF(AND(AQ28,AN28),IF(H28=$H$86,Percent1,IF(H28=$H$87,Percent1,IF(H28=$H$88,Percent1,IF(H28=$H$89,PercentBalcony,IF(H28=$H$90,Percent10,""))))))</f>
        <v>0</v>
      </c>
      <c r="BL28" s="176" t="str">
        <f t="shared" ref="BL28:BL67" si="29">IF(AND(AQ28,AN28),TEXT(BJ28,"0%")&amp;" of "&amp;TEXT(IF(AND(BK28&gt;0.99,BK28&lt;1),ROUNDDOWN(BK28,BL$22)*100,IF(AND(BK28&gt;1,BK28&lt;1.01),ROUNDUP(BK28,BL$22),ROUND(BK28,2))*100),"General")&amp;"%","")</f>
        <v/>
      </c>
      <c r="BN28" s="142">
        <f t="shared" ref="BN28:BN67" ca="1" si="30">IF(COUNTA(D28:M28)=0,"no data",MATCH(H28,ValidLocationsTwo,0))</f>
        <v>1</v>
      </c>
      <c r="BP28" s="50">
        <v>1</v>
      </c>
      <c r="BQ28" s="50">
        <f t="shared" ref="BQ28:BQ67" si="31">IF(RowsPreferredTwo&gt;=BP28,RowsPreferredTwo,"-")</f>
        <v>10</v>
      </c>
      <c r="BS28"/>
      <c r="BT28" s="58"/>
      <c r="BU28" s="73"/>
      <c r="BV28" s="59"/>
      <c r="BW28" s="280"/>
      <c r="BX28" s="276"/>
      <c r="BY28" s="417">
        <f t="shared" ref="BY28:BY67" si="32">C28</f>
        <v>1</v>
      </c>
      <c r="BZ28" s="344" t="str">
        <f t="shared" ref="BZ28:BZ67" si="33">D28</f>
        <v>Bed 1</v>
      </c>
      <c r="CA28" s="344" t="str">
        <f t="shared" ref="CA28:CA67" si="34">H28</f>
        <v>Class 1 building</v>
      </c>
      <c r="CB28" s="345">
        <f t="shared" ref="CB28:CB67" si="35">IF(ISBLANK(H28),"",VLOOKUP(H28,LocationLimitsTwo,2,FALSE))</f>
        <v>5</v>
      </c>
      <c r="CC28" s="346" t="str">
        <f>R28</f>
        <v/>
      </c>
      <c r="CD28" s="347" t="str">
        <f t="shared" ref="CD28:CD67" si="36">IF(AQ28,AT28,"")</f>
        <v/>
      </c>
      <c r="CE28" s="348"/>
      <c r="CF28" s="348"/>
      <c r="CG28" s="280"/>
      <c r="CH28" s="280"/>
      <c r="CI28" s="276"/>
      <c r="CJ28" s="276"/>
      <c r="CK28" s="276"/>
      <c r="CL28" s="276"/>
      <c r="CM28" s="276"/>
      <c r="CN28" s="276"/>
      <c r="CO28" s="276"/>
      <c r="CP28" s="276"/>
      <c r="CQ28" s="276"/>
      <c r="CR28" s="276"/>
      <c r="CS28" s="276"/>
      <c r="CU28" s="142" t="str">
        <f t="shared" ref="CU28:CU67" si="37">IF(AND(COUNTA(DescriptionTwo,ClassificationTwo)=2,COUNTA(D28:M28)&gt;0,ISBLANK(D28)),"Enter Description","OK")</f>
        <v>OK</v>
      </c>
      <c r="CV28" s="142" t="str">
        <f t="shared" ref="CV28:CV67" si="38">IF(AND(COUNTA(DescriptionTwo,ClassificationTwo)=2,COUNTA(D28:M28)&gt;0,ISBLANK(E28)),"Enter Type of space","OK")</f>
        <v>OK</v>
      </c>
      <c r="CW28" s="142" t="str">
        <f t="shared" ref="CW28:CW67" si="39">IF(AND(COUNTA(DescriptionTwo,ClassificationTwo)=2,COUNTA(D28:M28)&gt;0,ISBLANK(F28)),"Enter Floor area of the space","OK")</f>
        <v>OK</v>
      </c>
      <c r="CX28" s="142" t="str">
        <f t="shared" ref="CX28:CX67" si="40">IF(AND(COUNTA(DescriptionTwo,ClassificationTwo)=2,COUNTA(D28:M28)&gt;0,ISBLANK(G28)),"Enter Design Power Load","OK")</f>
        <v>OK</v>
      </c>
      <c r="CY28" s="143" t="str">
        <f t="shared" ref="CY28:CY67" si="41">IF(AND(COUNTA(DescriptionTwo,ClassificationTwo)=2,COUNTA(D28:M28)&gt;0,ISBLANK(H28)),"Enter Location","OK")</f>
        <v>OK</v>
      </c>
      <c r="CZ28" s="132" t="str">
        <f t="shared" ref="CZ28:CZ67" si="42">IF(AND(COUNTA(DescriptionTwo,ClassificationTwo)=2,COUNTA(D28:M28)&gt;0,OR(J28=ProgDim,J28=V2FixedDim,J28=V2ManualDim,J28=V2ProgDim),ISBLANK(K28)),"Enter % of floor area controlled","OK")</f>
        <v>OK</v>
      </c>
      <c r="DA28" s="132" t="str">
        <f t="shared" ref="DA28:DA67" si="43">IF(AND(COUNTA(DescriptionTwo,ClassificationTwo)=2,COUNTA(D28:M28)&gt;0,J28=V2FixedDim,K28&gt;0,ISBLANK(L28)),"Enter dimmed % of full power","OK")</f>
        <v>OK</v>
      </c>
      <c r="DB28" s="132" t="str">
        <f t="shared" ref="DB28:DB67" si="44">IF(AND(COUNTA(K28)&gt;0,NOT(OR(J28=ProgDim,J28=V2FixedDim,J28=V2ManualDim,J28=V2ProgDim))),"Adjustment Factor is missing or inappropriate","OK")</f>
        <v>Adjustment Factor is missing or inappropriate</v>
      </c>
      <c r="DC28" s="132" t="str">
        <f>IF(AND(ISNUMBER(#REF!),J28&lt;&gt;FixedDim),"Select fixed dimming with an illuminance factor","OK")</f>
        <v>OK</v>
      </c>
      <c r="DD28" s="132" t="str">
        <f>IF(AND(NOT(ISNUMBER(#REF!)),J28=FixedDim),"Enter an illuminance factor","OK")</f>
        <v>OK</v>
      </c>
      <c r="DE28" s="132" t="str">
        <f>IF(ISNUMBER(FIND("NA",$J28)),"Adjustment Factor not applicable","OK")</f>
        <v>OK</v>
      </c>
      <c r="DF28" s="267" t="str">
        <f t="shared" ref="DF28:DF67" si="45">IF(AND(NOT(ISNUMBER(M28)),J28=V2LumenDepFactor),"Enter Design Lumen Depreciation Factor","OK")</f>
        <v>OK</v>
      </c>
      <c r="DG28" s="267" t="str">
        <f t="shared" ref="DG28:DG67" si="46">IF(AND(ISNUMBER(M28),NOT(J28=V2LumenDepFactor)),"Design Lumen Depreciation Factor entered without an appropriate Adjustment Factor","OK")</f>
        <v>OK</v>
      </c>
      <c r="DH28" s="267" t="str">
        <f t="shared" ref="DH28:DH67" si="47">IF(AND(ISNUMBER(L28),NOT(J28=V2FixedDim)),"% of full power is only required for Volume Two fixed dimming","OK")</f>
        <v>OK</v>
      </c>
      <c r="DI28" s="143" t="str">
        <f t="shared" ref="DI28:DI67" si="48">IF(OR(ISTEXT(VLOOKUP(J28,IF(OR(ClassificationTwo=Class1,ClassificationTwo=Class10),AfactorsTwo,Afactors),1,FALSE)),ISBLANK(J28)),"OK","Invalid adjustment factor")</f>
        <v>OK</v>
      </c>
      <c r="DJ28" s="134">
        <f t="shared" ref="DJ28:DJ67" ca="1" si="49">COUNTIF(CU28:DI28,"&lt;&gt;OK")+IF(ISNA(BN28),1,0)</f>
        <v>1</v>
      </c>
      <c r="DK28" s="133" t="str">
        <f t="shared" ref="DK28:DK67" si="50">IF(AO28,"ROW SKIPPED (OK if intentional)","OK")</f>
        <v>OK</v>
      </c>
    </row>
    <row r="29" spans="1:115" ht="18" customHeight="1" x14ac:dyDescent="0.5">
      <c r="A29" s="197"/>
      <c r="B29" s="416">
        <f t="shared" si="0"/>
        <v>10</v>
      </c>
      <c r="C29" s="342">
        <v>2</v>
      </c>
      <c r="D29" s="420" t="s">
        <v>402</v>
      </c>
      <c r="E29" s="421" t="s">
        <v>201</v>
      </c>
      <c r="F29" s="422">
        <v>20</v>
      </c>
      <c r="G29" s="423">
        <v>75</v>
      </c>
      <c r="H29" s="530" t="s">
        <v>407</v>
      </c>
      <c r="I29" s="530"/>
      <c r="J29" s="424" t="s">
        <v>272</v>
      </c>
      <c r="K29" s="428"/>
      <c r="L29" s="428"/>
      <c r="M29" s="429"/>
      <c r="N29" s="418">
        <f t="shared" si="1"/>
        <v>5.6</v>
      </c>
      <c r="O29" s="418" t="str">
        <f t="shared" ref="O29:O67" si="51">AU29</f>
        <v/>
      </c>
      <c r="P29" s="419" t="e">
        <f t="shared" ca="1" si="2"/>
        <v>#VALUE!</v>
      </c>
      <c r="Q29" s="343"/>
      <c r="R29" s="67">
        <f t="shared" si="3"/>
        <v>0.9</v>
      </c>
      <c r="S29" s="20" t="b">
        <f t="shared" si="4"/>
        <v>1</v>
      </c>
      <c r="T29" s="19">
        <f t="shared" ref="T29:T67" si="52">IF(OR(ISNUMBER(R29)),SMALL(R29:R29,1),"")</f>
        <v>0.9</v>
      </c>
      <c r="U29" s="19">
        <f t="shared" si="5"/>
        <v>5.5555555555555554</v>
      </c>
      <c r="V29" s="179">
        <f t="shared" si="6"/>
        <v>20</v>
      </c>
      <c r="W29" s="180">
        <f t="shared" ref="W29:W67" si="53">IF(V29&gt;0,$G29,0)</f>
        <v>75</v>
      </c>
      <c r="X29" s="180">
        <f t="shared" ref="X29:X67" si="54">IF(V29&gt;0,$N29,0)</f>
        <v>5.6</v>
      </c>
      <c r="Y29" s="180">
        <f>V29*X29</f>
        <v>112</v>
      </c>
      <c r="Z29" s="181" t="str">
        <f t="shared" ref="Z29:Z67" si="55">IF(V29&gt;0,$O29,0)</f>
        <v/>
      </c>
      <c r="AA29" s="179">
        <f t="shared" si="8"/>
        <v>0</v>
      </c>
      <c r="AB29" s="180">
        <f t="shared" ref="AB29:AB67" si="56">IF(AA29&gt;0,$G29,0)</f>
        <v>0</v>
      </c>
      <c r="AC29" s="180">
        <f t="shared" ref="AC29:AC67" si="57">IF(AA29&gt;0,$N29,0)</f>
        <v>0</v>
      </c>
      <c r="AD29" s="180">
        <f t="shared" ref="AD29:AD67" si="58">AA29*AC29</f>
        <v>0</v>
      </c>
      <c r="AE29" s="181">
        <f t="shared" ref="AE29:AE67" si="59">IF(AA29&gt;0,$O29,0)</f>
        <v>0</v>
      </c>
      <c r="AF29" s="179">
        <f t="shared" si="9"/>
        <v>0</v>
      </c>
      <c r="AG29" s="180">
        <f t="shared" ref="AG29:AG67" si="60">IF(AF29&gt;0,$G29,0)</f>
        <v>0</v>
      </c>
      <c r="AH29" s="180">
        <f t="shared" ref="AH29:AH67" si="61">IF(AF29&gt;0,$N29,0)</f>
        <v>0</v>
      </c>
      <c r="AI29" s="180">
        <f t="shared" ref="AI29:AI67" si="62">AF29*AH29</f>
        <v>0</v>
      </c>
      <c r="AJ29" s="181">
        <f t="shared" ref="AJ29:AJ67" si="63">IF(AF29&gt;0,$O29,0)</f>
        <v>0</v>
      </c>
      <c r="AK29" s="184" t="b">
        <f t="shared" si="10"/>
        <v>1</v>
      </c>
      <c r="AL29" s="265" t="b">
        <f t="shared" si="11"/>
        <v>1</v>
      </c>
      <c r="AM29" s="21" t="b">
        <f t="shared" si="12"/>
        <v>0</v>
      </c>
      <c r="AN29" s="21" t="b">
        <f t="shared" si="13"/>
        <v>1</v>
      </c>
      <c r="AO29" s="186" t="b">
        <f>IF(OR(COUNTBLANK(D29:I29)=6,AND(COUNTBLANK(D29:G29)=4,H29=0)),OR(AN30:AN$67),NOT(AN29))</f>
        <v>0</v>
      </c>
      <c r="AP29" s="21" t="b">
        <f t="shared" si="14"/>
        <v>0</v>
      </c>
      <c r="AQ29" s="21" t="b">
        <f t="shared" ref="AQ29:AQ67" si="64">AND(AK29,AL29)</f>
        <v>1</v>
      </c>
      <c r="AR29" s="22">
        <f t="shared" si="15"/>
        <v>75</v>
      </c>
      <c r="AS29" s="22">
        <f t="shared" si="16"/>
        <v>5.6</v>
      </c>
      <c r="AT29" s="199">
        <f t="shared" ref="AT29:AT67" si="65">IF(AQ29,IF(ISNUMBER(U29),ROUND(U29,1),U29),"")</f>
        <v>5.6</v>
      </c>
      <c r="AU29" s="200" t="str">
        <f t="shared" si="17"/>
        <v/>
      </c>
      <c r="AV29" s="68" t="str">
        <f t="shared" si="18"/>
        <v/>
      </c>
      <c r="AW29" s="169"/>
      <c r="AX29" s="68" t="str">
        <f t="shared" ref="AX29:AX67" si="66">IF(DI29&lt;&gt;"OK",DI29,IF(DE29&lt;&gt;"OK",DE29,IF(DB29&lt;&gt;"OK",DB29,IF(DC29&lt;&gt;"OK",DC29,IF(DD29&lt;&gt;"OK",DD29,IF(DA29&lt;&gt;"OK",DA29,IF(DF29&lt;&gt;"OK",DF29,IF(DG29&lt;&gt;"OK",DG29,IF(DH29&lt;&gt;"OK",DH29,IF(CZ29&lt;&gt;"OK",CZ29,""))))))))))</f>
        <v/>
      </c>
      <c r="AY29" s="476"/>
      <c r="AZ29" s="476"/>
      <c r="BA29" s="189" t="e">
        <f t="shared" ca="1" si="19"/>
        <v>#VALUE!</v>
      </c>
      <c r="BB29" s="190" t="e">
        <f t="shared" ca="1" si="20"/>
        <v>#VALUE!</v>
      </c>
      <c r="BC29" s="191" t="e">
        <f t="shared" ca="1" si="21"/>
        <v>#VALUE!</v>
      </c>
      <c r="BD29" s="189" t="e">
        <f t="shared" ca="1" si="22"/>
        <v>#VALUE!</v>
      </c>
      <c r="BE29" s="189" t="e">
        <f t="shared" ca="1" si="23"/>
        <v>#VALUE!</v>
      </c>
      <c r="BF29" s="190" t="e">
        <f t="shared" ca="1" si="24"/>
        <v>#VALUE!</v>
      </c>
      <c r="BG29" s="191" t="b">
        <f t="shared" ca="1" si="25"/>
        <v>0</v>
      </c>
      <c r="BH29" s="189" t="b">
        <f t="shared" ca="1" si="26"/>
        <v>0</v>
      </c>
      <c r="BI29" s="190" t="b">
        <f t="shared" ref="BI29:BI67" ca="1" si="67">DJ29&gt;0</f>
        <v>0</v>
      </c>
      <c r="BJ29" s="192" t="e">
        <f t="shared" si="27"/>
        <v>#VALUE!</v>
      </c>
      <c r="BK29" s="193" t="e">
        <f t="shared" ca="1" si="28"/>
        <v>#VALUE!</v>
      </c>
      <c r="BL29" s="176" t="e">
        <f t="shared" ca="1" si="29"/>
        <v>#VALUE!</v>
      </c>
      <c r="BN29" s="142">
        <f t="shared" ca="1" si="30"/>
        <v>1</v>
      </c>
      <c r="BP29" s="51">
        <v>2</v>
      </c>
      <c r="BQ29" s="51">
        <f t="shared" si="31"/>
        <v>10</v>
      </c>
      <c r="BS29"/>
      <c r="BT29" s="75"/>
      <c r="BU29" s="73"/>
      <c r="BV29" s="59"/>
      <c r="BW29" s="280"/>
      <c r="BX29" s="276"/>
      <c r="BY29" s="417">
        <f t="shared" si="32"/>
        <v>2</v>
      </c>
      <c r="BZ29" s="344" t="str">
        <f t="shared" si="33"/>
        <v>Lounge 1</v>
      </c>
      <c r="CA29" s="344" t="str">
        <f t="shared" si="34"/>
        <v>Class 1 building</v>
      </c>
      <c r="CB29" s="345">
        <f t="shared" si="35"/>
        <v>5</v>
      </c>
      <c r="CC29" s="346">
        <f>IF(AQ29,IF(ISNUMBER(#REF!),MAX('Adjustment factors'!$S$16,0.2+0.8*#REF!),IF(ISTEXT(J29),VLOOKUP(J29,Afactors,2,FALSE),"")),"")</f>
        <v>0.6</v>
      </c>
      <c r="CD29" s="347">
        <f t="shared" si="36"/>
        <v>5.6</v>
      </c>
      <c r="CE29" s="348"/>
      <c r="CF29" s="348"/>
      <c r="CG29" s="280"/>
      <c r="CH29" s="280"/>
      <c r="CI29" s="276"/>
      <c r="CJ29" s="276"/>
      <c r="CK29" s="276"/>
      <c r="CL29" s="276"/>
      <c r="CM29" s="276"/>
      <c r="CN29" s="276"/>
      <c r="CO29" s="276"/>
      <c r="CP29" s="276"/>
      <c r="CQ29" s="276"/>
      <c r="CR29" s="276"/>
      <c r="CS29" s="276"/>
      <c r="CU29" s="142" t="str">
        <f t="shared" si="37"/>
        <v>OK</v>
      </c>
      <c r="CV29" s="142" t="str">
        <f t="shared" si="38"/>
        <v>OK</v>
      </c>
      <c r="CW29" s="142" t="str">
        <f t="shared" si="39"/>
        <v>OK</v>
      </c>
      <c r="CX29" s="142" t="str">
        <f t="shared" si="40"/>
        <v>OK</v>
      </c>
      <c r="CY29" s="143" t="str">
        <f t="shared" si="41"/>
        <v>OK</v>
      </c>
      <c r="CZ29" s="132" t="str">
        <f t="shared" si="42"/>
        <v>OK</v>
      </c>
      <c r="DA29" s="132" t="str">
        <f t="shared" si="43"/>
        <v>OK</v>
      </c>
      <c r="DB29" s="132" t="str">
        <f t="shared" si="44"/>
        <v>OK</v>
      </c>
      <c r="DC29" s="132" t="str">
        <f>IF(AND(ISNUMBER(#REF!),J29&lt;&gt;FixedDim),"Select fixed dimming with an illuminance factor","OK")</f>
        <v>OK</v>
      </c>
      <c r="DD29" s="132" t="str">
        <f>IF(AND(NOT(ISNUMBER(#REF!)),J29=FixedDim),"Enter an illuminance factor","OK")</f>
        <v>OK</v>
      </c>
      <c r="DE29" s="132" t="str">
        <f t="shared" ref="DE29:DE67" si="68">IF(ISNUMBER(FIND("NA",$J29)),"Adjustment Factor not applicable","OK")</f>
        <v>OK</v>
      </c>
      <c r="DF29" s="267" t="str">
        <f t="shared" si="45"/>
        <v>OK</v>
      </c>
      <c r="DG29" s="267" t="str">
        <f t="shared" si="46"/>
        <v>OK</v>
      </c>
      <c r="DH29" s="267" t="str">
        <f t="shared" si="47"/>
        <v>OK</v>
      </c>
      <c r="DI29" s="143" t="str">
        <f t="shared" si="48"/>
        <v>OK</v>
      </c>
      <c r="DJ29" s="134">
        <f t="shared" ca="1" si="49"/>
        <v>0</v>
      </c>
      <c r="DK29" s="133" t="str">
        <f t="shared" si="50"/>
        <v>OK</v>
      </c>
    </row>
    <row r="30" spans="1:115" ht="18" customHeight="1" x14ac:dyDescent="0.5">
      <c r="A30" s="197"/>
      <c r="B30" s="416">
        <f t="shared" si="0"/>
        <v>10</v>
      </c>
      <c r="C30" s="342">
        <v>3</v>
      </c>
      <c r="D30" s="420" t="s">
        <v>403</v>
      </c>
      <c r="E30" s="421" t="s">
        <v>82</v>
      </c>
      <c r="F30" s="422">
        <v>20</v>
      </c>
      <c r="G30" s="423">
        <v>75</v>
      </c>
      <c r="H30" s="530" t="s">
        <v>407</v>
      </c>
      <c r="I30" s="530"/>
      <c r="J30" s="424"/>
      <c r="K30" s="428"/>
      <c r="L30" s="428"/>
      <c r="M30" s="429"/>
      <c r="N30" s="418">
        <f t="shared" si="1"/>
        <v>5</v>
      </c>
      <c r="O30" s="418" t="str">
        <f t="shared" si="51"/>
        <v/>
      </c>
      <c r="P30" s="419" t="e">
        <f t="shared" ca="1" si="2"/>
        <v>#VALUE!</v>
      </c>
      <c r="Q30" s="343"/>
      <c r="R30" s="67" t="str">
        <f t="shared" si="3"/>
        <v/>
      </c>
      <c r="S30" s="20" t="b">
        <f t="shared" si="4"/>
        <v>0</v>
      </c>
      <c r="T30" s="19" t="str">
        <f t="shared" si="52"/>
        <v/>
      </c>
      <c r="U30" s="19">
        <f t="shared" si="5"/>
        <v>5</v>
      </c>
      <c r="V30" s="179">
        <f t="shared" si="6"/>
        <v>20</v>
      </c>
      <c r="W30" s="180">
        <f t="shared" si="53"/>
        <v>75</v>
      </c>
      <c r="X30" s="180">
        <f t="shared" si="54"/>
        <v>5</v>
      </c>
      <c r="Y30" s="180">
        <f t="shared" si="7"/>
        <v>100</v>
      </c>
      <c r="Z30" s="181" t="str">
        <f t="shared" si="55"/>
        <v/>
      </c>
      <c r="AA30" s="179">
        <f t="shared" si="8"/>
        <v>0</v>
      </c>
      <c r="AB30" s="180">
        <f t="shared" si="56"/>
        <v>0</v>
      </c>
      <c r="AC30" s="180">
        <f t="shared" si="57"/>
        <v>0</v>
      </c>
      <c r="AD30" s="180">
        <f t="shared" si="58"/>
        <v>0</v>
      </c>
      <c r="AE30" s="181">
        <f t="shared" si="59"/>
        <v>0</v>
      </c>
      <c r="AF30" s="179">
        <f t="shared" si="9"/>
        <v>0</v>
      </c>
      <c r="AG30" s="180">
        <f t="shared" si="60"/>
        <v>0</v>
      </c>
      <c r="AH30" s="180">
        <f t="shared" si="61"/>
        <v>0</v>
      </c>
      <c r="AI30" s="180">
        <f t="shared" si="62"/>
        <v>0</v>
      </c>
      <c r="AJ30" s="181">
        <f t="shared" si="63"/>
        <v>0</v>
      </c>
      <c r="AK30" s="184" t="b">
        <f t="shared" si="10"/>
        <v>1</v>
      </c>
      <c r="AL30" s="265" t="b">
        <f t="shared" si="11"/>
        <v>1</v>
      </c>
      <c r="AM30" s="21" t="b">
        <f t="shared" si="12"/>
        <v>0</v>
      </c>
      <c r="AN30" s="21" t="b">
        <f t="shared" si="13"/>
        <v>1</v>
      </c>
      <c r="AO30" s="186" t="b">
        <f>IF(OR(COUNTBLANK(D30:I30)=6,AND(COUNTBLANK(D30:G30)=4,H30=0)),OR(AN31:AN$67),NOT(AN30))</f>
        <v>0</v>
      </c>
      <c r="AP30" s="21" t="b">
        <f t="shared" si="14"/>
        <v>0</v>
      </c>
      <c r="AQ30" s="21" t="b">
        <f t="shared" si="64"/>
        <v>1</v>
      </c>
      <c r="AR30" s="22">
        <f t="shared" si="15"/>
        <v>75</v>
      </c>
      <c r="AS30" s="22">
        <f t="shared" si="16"/>
        <v>5</v>
      </c>
      <c r="AT30" s="199">
        <f t="shared" si="65"/>
        <v>5</v>
      </c>
      <c r="AU30" s="200" t="str">
        <f t="shared" si="17"/>
        <v/>
      </c>
      <c r="AV30" s="68" t="str">
        <f t="shared" si="18"/>
        <v/>
      </c>
      <c r="AW30" s="169"/>
      <c r="AX30" s="68" t="str">
        <f t="shared" si="66"/>
        <v/>
      </c>
      <c r="AY30" s="476"/>
      <c r="AZ30" s="476"/>
      <c r="BA30" s="189" t="e">
        <f t="shared" ca="1" si="19"/>
        <v>#VALUE!</v>
      </c>
      <c r="BB30" s="190" t="e">
        <f t="shared" ca="1" si="20"/>
        <v>#VALUE!</v>
      </c>
      <c r="BC30" s="191" t="e">
        <f t="shared" ca="1" si="21"/>
        <v>#VALUE!</v>
      </c>
      <c r="BD30" s="189" t="e">
        <f t="shared" ca="1" si="22"/>
        <v>#VALUE!</v>
      </c>
      <c r="BE30" s="189" t="e">
        <f t="shared" ca="1" si="23"/>
        <v>#VALUE!</v>
      </c>
      <c r="BF30" s="190" t="e">
        <f t="shared" ca="1" si="24"/>
        <v>#VALUE!</v>
      </c>
      <c r="BG30" s="191" t="b">
        <f t="shared" ca="1" si="25"/>
        <v>0</v>
      </c>
      <c r="BH30" s="189" t="b">
        <f t="shared" ca="1" si="26"/>
        <v>0</v>
      </c>
      <c r="BI30" s="190" t="b">
        <f t="shared" ca="1" si="67"/>
        <v>0</v>
      </c>
      <c r="BJ30" s="192" t="e">
        <f t="shared" si="27"/>
        <v>#VALUE!</v>
      </c>
      <c r="BK30" s="193" t="e">
        <f t="shared" ca="1" si="28"/>
        <v>#VALUE!</v>
      </c>
      <c r="BL30" s="176" t="e">
        <f t="shared" ca="1" si="29"/>
        <v>#VALUE!</v>
      </c>
      <c r="BN30" s="142">
        <f t="shared" ca="1" si="30"/>
        <v>1</v>
      </c>
      <c r="BP30" s="51">
        <v>3</v>
      </c>
      <c r="BQ30" s="51">
        <f t="shared" si="31"/>
        <v>10</v>
      </c>
      <c r="BS30"/>
      <c r="BT30" s="75"/>
      <c r="BU30" s="73"/>
      <c r="BV30" s="59"/>
      <c r="BW30" s="280"/>
      <c r="BX30" s="276"/>
      <c r="BY30" s="417">
        <f t="shared" si="32"/>
        <v>3</v>
      </c>
      <c r="BZ30" s="344" t="str">
        <f t="shared" si="33"/>
        <v>Living</v>
      </c>
      <c r="CA30" s="344" t="str">
        <f t="shared" si="34"/>
        <v>Class 1 building</v>
      </c>
      <c r="CB30" s="345">
        <f t="shared" si="35"/>
        <v>5</v>
      </c>
      <c r="CC30" s="346" t="str">
        <f>IF(AQ30,IF(ISNUMBER(#REF!),MAX('Adjustment factors'!$S$16,0.2+0.8*#REF!),IF(ISTEXT(J30),VLOOKUP(J30,Afactors,2,FALSE),"")),"")</f>
        <v/>
      </c>
      <c r="CD30" s="347">
        <f t="shared" si="36"/>
        <v>5</v>
      </c>
      <c r="CE30" s="348"/>
      <c r="CF30" s="348"/>
      <c r="CG30" s="280"/>
      <c r="CH30" s="280"/>
      <c r="CI30" s="276"/>
      <c r="CJ30" s="276"/>
      <c r="CK30" s="276"/>
      <c r="CL30" s="276"/>
      <c r="CM30" s="276"/>
      <c r="CN30" s="276"/>
      <c r="CO30" s="276"/>
      <c r="CP30" s="276"/>
      <c r="CQ30" s="276"/>
      <c r="CR30" s="276"/>
      <c r="CS30" s="276"/>
      <c r="CU30" s="142" t="str">
        <f t="shared" si="37"/>
        <v>OK</v>
      </c>
      <c r="CV30" s="142" t="str">
        <f t="shared" si="38"/>
        <v>OK</v>
      </c>
      <c r="CW30" s="142" t="str">
        <f t="shared" si="39"/>
        <v>OK</v>
      </c>
      <c r="CX30" s="142" t="str">
        <f t="shared" si="40"/>
        <v>OK</v>
      </c>
      <c r="CY30" s="143" t="str">
        <f t="shared" si="41"/>
        <v>OK</v>
      </c>
      <c r="CZ30" s="132" t="str">
        <f t="shared" si="42"/>
        <v>OK</v>
      </c>
      <c r="DA30" s="132" t="str">
        <f t="shared" si="43"/>
        <v>OK</v>
      </c>
      <c r="DB30" s="132" t="str">
        <f t="shared" si="44"/>
        <v>OK</v>
      </c>
      <c r="DC30" s="132" t="str">
        <f>IF(AND(ISNUMBER(#REF!),J30&lt;&gt;FixedDim),"Select fixed dimming with an illuminance factor","OK")</f>
        <v>OK</v>
      </c>
      <c r="DD30" s="132" t="str">
        <f>IF(AND(NOT(ISNUMBER(#REF!)),J30=FixedDim),"Enter an illuminance factor","OK")</f>
        <v>OK</v>
      </c>
      <c r="DE30" s="132" t="str">
        <f t="shared" si="68"/>
        <v>OK</v>
      </c>
      <c r="DF30" s="267" t="str">
        <f t="shared" si="45"/>
        <v>OK</v>
      </c>
      <c r="DG30" s="267" t="str">
        <f t="shared" si="46"/>
        <v>OK</v>
      </c>
      <c r="DH30" s="267" t="str">
        <f t="shared" si="47"/>
        <v>OK</v>
      </c>
      <c r="DI30" s="143" t="str">
        <f t="shared" si="48"/>
        <v>OK</v>
      </c>
      <c r="DJ30" s="134">
        <f t="shared" ca="1" si="49"/>
        <v>0</v>
      </c>
      <c r="DK30" s="133" t="str">
        <f t="shared" si="50"/>
        <v>OK</v>
      </c>
    </row>
    <row r="31" spans="1:115" ht="18" customHeight="1" x14ac:dyDescent="0.5">
      <c r="A31" s="197"/>
      <c r="B31" s="416">
        <f t="shared" si="0"/>
        <v>10</v>
      </c>
      <c r="C31" s="342">
        <v>4</v>
      </c>
      <c r="D31" s="420" t="s">
        <v>84</v>
      </c>
      <c r="E31" s="421" t="s">
        <v>84</v>
      </c>
      <c r="F31" s="422">
        <v>10</v>
      </c>
      <c r="G31" s="423">
        <v>75</v>
      </c>
      <c r="H31" s="530" t="s">
        <v>407</v>
      </c>
      <c r="I31" s="530"/>
      <c r="J31" s="424"/>
      <c r="K31" s="428"/>
      <c r="L31" s="428"/>
      <c r="M31" s="429"/>
      <c r="N31" s="418">
        <f t="shared" si="1"/>
        <v>5</v>
      </c>
      <c r="O31" s="418" t="str">
        <f t="shared" si="51"/>
        <v/>
      </c>
      <c r="P31" s="419" t="e">
        <f t="shared" ca="1" si="2"/>
        <v>#VALUE!</v>
      </c>
      <c r="Q31" s="343"/>
      <c r="R31" s="67" t="str">
        <f t="shared" si="3"/>
        <v/>
      </c>
      <c r="S31" s="20" t="b">
        <f t="shared" si="4"/>
        <v>0</v>
      </c>
      <c r="T31" s="19" t="str">
        <f t="shared" si="52"/>
        <v/>
      </c>
      <c r="U31" s="19">
        <f t="shared" si="5"/>
        <v>5</v>
      </c>
      <c r="V31" s="179">
        <f t="shared" si="6"/>
        <v>10</v>
      </c>
      <c r="W31" s="180">
        <f t="shared" si="53"/>
        <v>75</v>
      </c>
      <c r="X31" s="180">
        <f t="shared" si="54"/>
        <v>5</v>
      </c>
      <c r="Y31" s="180">
        <f t="shared" si="7"/>
        <v>50</v>
      </c>
      <c r="Z31" s="181" t="str">
        <f t="shared" si="55"/>
        <v/>
      </c>
      <c r="AA31" s="179">
        <f t="shared" si="8"/>
        <v>0</v>
      </c>
      <c r="AB31" s="180">
        <f t="shared" si="56"/>
        <v>0</v>
      </c>
      <c r="AC31" s="180">
        <f t="shared" si="57"/>
        <v>0</v>
      </c>
      <c r="AD31" s="180">
        <f t="shared" si="58"/>
        <v>0</v>
      </c>
      <c r="AE31" s="181">
        <f t="shared" si="59"/>
        <v>0</v>
      </c>
      <c r="AF31" s="179">
        <f t="shared" si="9"/>
        <v>0</v>
      </c>
      <c r="AG31" s="180">
        <f t="shared" si="60"/>
        <v>0</v>
      </c>
      <c r="AH31" s="180">
        <f t="shared" si="61"/>
        <v>0</v>
      </c>
      <c r="AI31" s="180">
        <f t="shared" si="62"/>
        <v>0</v>
      </c>
      <c r="AJ31" s="181">
        <f t="shared" si="63"/>
        <v>0</v>
      </c>
      <c r="AK31" s="184" t="b">
        <f t="shared" si="10"/>
        <v>1</v>
      </c>
      <c r="AL31" s="265" t="b">
        <f t="shared" si="11"/>
        <v>1</v>
      </c>
      <c r="AM31" s="21" t="b">
        <f t="shared" si="12"/>
        <v>0</v>
      </c>
      <c r="AN31" s="21" t="b">
        <f t="shared" si="13"/>
        <v>1</v>
      </c>
      <c r="AO31" s="186" t="b">
        <f>IF(OR(COUNTBLANK(D31:I31)=6,AND(COUNTBLANK(D31:G31)=4,H31=0)),OR(AN32:AN$67),NOT(AN31))</f>
        <v>0</v>
      </c>
      <c r="AP31" s="21" t="b">
        <f t="shared" si="14"/>
        <v>0</v>
      </c>
      <c r="AQ31" s="21" t="b">
        <f t="shared" si="64"/>
        <v>1</v>
      </c>
      <c r="AR31" s="22">
        <f t="shared" si="15"/>
        <v>75</v>
      </c>
      <c r="AS31" s="22">
        <f t="shared" si="16"/>
        <v>5</v>
      </c>
      <c r="AT31" s="199">
        <f t="shared" si="65"/>
        <v>5</v>
      </c>
      <c r="AU31" s="200" t="str">
        <f t="shared" si="17"/>
        <v/>
      </c>
      <c r="AV31" s="68" t="str">
        <f t="shared" si="18"/>
        <v/>
      </c>
      <c r="AW31" s="169"/>
      <c r="AX31" s="68" t="str">
        <f t="shared" si="66"/>
        <v/>
      </c>
      <c r="AY31" s="476"/>
      <c r="AZ31" s="476"/>
      <c r="BA31" s="189" t="e">
        <f t="shared" ca="1" si="19"/>
        <v>#VALUE!</v>
      </c>
      <c r="BB31" s="190" t="e">
        <f t="shared" ca="1" si="20"/>
        <v>#VALUE!</v>
      </c>
      <c r="BC31" s="191" t="e">
        <f t="shared" ca="1" si="21"/>
        <v>#VALUE!</v>
      </c>
      <c r="BD31" s="189" t="e">
        <f t="shared" ca="1" si="22"/>
        <v>#VALUE!</v>
      </c>
      <c r="BE31" s="189" t="e">
        <f t="shared" ca="1" si="23"/>
        <v>#VALUE!</v>
      </c>
      <c r="BF31" s="190" t="e">
        <f t="shared" ca="1" si="24"/>
        <v>#VALUE!</v>
      </c>
      <c r="BG31" s="191" t="b">
        <f t="shared" ca="1" si="25"/>
        <v>0</v>
      </c>
      <c r="BH31" s="189" t="b">
        <f t="shared" ca="1" si="26"/>
        <v>0</v>
      </c>
      <c r="BI31" s="190" t="b">
        <f t="shared" ca="1" si="67"/>
        <v>0</v>
      </c>
      <c r="BJ31" s="192" t="e">
        <f t="shared" si="27"/>
        <v>#VALUE!</v>
      </c>
      <c r="BK31" s="193" t="e">
        <f t="shared" ca="1" si="28"/>
        <v>#VALUE!</v>
      </c>
      <c r="BL31" s="176" t="e">
        <f t="shared" ca="1" si="29"/>
        <v>#VALUE!</v>
      </c>
      <c r="BN31" s="142">
        <f t="shared" ca="1" si="30"/>
        <v>1</v>
      </c>
      <c r="BP31" s="51">
        <v>4</v>
      </c>
      <c r="BQ31" s="51">
        <f t="shared" si="31"/>
        <v>10</v>
      </c>
      <c r="BS31"/>
      <c r="BT31" s="75"/>
      <c r="BU31" s="73"/>
      <c r="BV31" s="59"/>
      <c r="BW31" s="280"/>
      <c r="BX31" s="276"/>
      <c r="BY31" s="417">
        <f t="shared" si="32"/>
        <v>4</v>
      </c>
      <c r="BZ31" s="344" t="str">
        <f t="shared" si="33"/>
        <v>Corridor</v>
      </c>
      <c r="CA31" s="344" t="str">
        <f t="shared" si="34"/>
        <v>Class 1 building</v>
      </c>
      <c r="CB31" s="345">
        <f t="shared" si="35"/>
        <v>5</v>
      </c>
      <c r="CC31" s="346" t="str">
        <f>IF(AQ31,IF(ISNUMBER(#REF!),MAX('Adjustment factors'!$S$16,0.2+0.8*#REF!),IF(ISTEXT(J31),VLOOKUP(J31,Afactors,2,FALSE),"")),"")</f>
        <v/>
      </c>
      <c r="CD31" s="347">
        <f t="shared" si="36"/>
        <v>5</v>
      </c>
      <c r="CE31" s="348"/>
      <c r="CF31" s="348"/>
      <c r="CG31" s="280"/>
      <c r="CH31" s="280"/>
      <c r="CI31" s="276"/>
      <c r="CJ31" s="276"/>
      <c r="CK31" s="276"/>
      <c r="CL31" s="276"/>
      <c r="CM31" s="276"/>
      <c r="CN31" s="276"/>
      <c r="CO31" s="276"/>
      <c r="CP31" s="276"/>
      <c r="CQ31" s="276"/>
      <c r="CR31" s="276"/>
      <c r="CS31" s="276"/>
      <c r="CU31" s="142" t="str">
        <f t="shared" si="37"/>
        <v>OK</v>
      </c>
      <c r="CV31" s="142" t="str">
        <f t="shared" si="38"/>
        <v>OK</v>
      </c>
      <c r="CW31" s="142" t="str">
        <f t="shared" si="39"/>
        <v>OK</v>
      </c>
      <c r="CX31" s="142" t="str">
        <f t="shared" si="40"/>
        <v>OK</v>
      </c>
      <c r="CY31" s="143" t="str">
        <f t="shared" si="41"/>
        <v>OK</v>
      </c>
      <c r="CZ31" s="132" t="str">
        <f t="shared" si="42"/>
        <v>OK</v>
      </c>
      <c r="DA31" s="132" t="str">
        <f t="shared" si="43"/>
        <v>OK</v>
      </c>
      <c r="DB31" s="132" t="str">
        <f t="shared" si="44"/>
        <v>OK</v>
      </c>
      <c r="DC31" s="132" t="str">
        <f>IF(AND(ISNUMBER(#REF!),J31&lt;&gt;FixedDim),"Select fixed dimming with an illuminance factor","OK")</f>
        <v>OK</v>
      </c>
      <c r="DD31" s="132" t="str">
        <f>IF(AND(NOT(ISNUMBER(#REF!)),J31=FixedDim),"Enter an illuminance factor","OK")</f>
        <v>OK</v>
      </c>
      <c r="DE31" s="132" t="str">
        <f t="shared" si="68"/>
        <v>OK</v>
      </c>
      <c r="DF31" s="267" t="str">
        <f t="shared" si="45"/>
        <v>OK</v>
      </c>
      <c r="DG31" s="267" t="str">
        <f t="shared" si="46"/>
        <v>OK</v>
      </c>
      <c r="DH31" s="267" t="str">
        <f t="shared" si="47"/>
        <v>OK</v>
      </c>
      <c r="DI31" s="143" t="str">
        <f t="shared" si="48"/>
        <v>OK</v>
      </c>
      <c r="DJ31" s="134">
        <f t="shared" ca="1" si="49"/>
        <v>0</v>
      </c>
      <c r="DK31" s="133" t="str">
        <f t="shared" si="50"/>
        <v>OK</v>
      </c>
    </row>
    <row r="32" spans="1:115" ht="18" customHeight="1" x14ac:dyDescent="0.5">
      <c r="A32" s="197"/>
      <c r="B32" s="416">
        <f t="shared" si="0"/>
        <v>10</v>
      </c>
      <c r="C32" s="342">
        <v>5</v>
      </c>
      <c r="D32" s="420" t="s">
        <v>199</v>
      </c>
      <c r="E32" s="421" t="s">
        <v>199</v>
      </c>
      <c r="F32" s="422">
        <v>5</v>
      </c>
      <c r="G32" s="423">
        <v>75</v>
      </c>
      <c r="H32" s="530" t="s">
        <v>407</v>
      </c>
      <c r="I32" s="530"/>
      <c r="J32" s="424"/>
      <c r="K32" s="428"/>
      <c r="L32" s="428"/>
      <c r="M32" s="429"/>
      <c r="N32" s="418">
        <f t="shared" si="1"/>
        <v>5</v>
      </c>
      <c r="O32" s="418" t="str">
        <f t="shared" si="51"/>
        <v/>
      </c>
      <c r="P32" s="419" t="e">
        <f t="shared" ca="1" si="2"/>
        <v>#VALUE!</v>
      </c>
      <c r="Q32" s="343"/>
      <c r="R32" s="67" t="str">
        <f t="shared" si="3"/>
        <v/>
      </c>
      <c r="S32" s="20" t="b">
        <f t="shared" si="4"/>
        <v>0</v>
      </c>
      <c r="T32" s="19" t="str">
        <f t="shared" si="52"/>
        <v/>
      </c>
      <c r="U32" s="19">
        <f t="shared" si="5"/>
        <v>5</v>
      </c>
      <c r="V32" s="179">
        <f t="shared" si="6"/>
        <v>5</v>
      </c>
      <c r="W32" s="180">
        <f t="shared" si="53"/>
        <v>75</v>
      </c>
      <c r="X32" s="180">
        <f t="shared" si="54"/>
        <v>5</v>
      </c>
      <c r="Y32" s="180">
        <f t="shared" si="7"/>
        <v>25</v>
      </c>
      <c r="Z32" s="181" t="str">
        <f t="shared" si="55"/>
        <v/>
      </c>
      <c r="AA32" s="179">
        <f t="shared" si="8"/>
        <v>0</v>
      </c>
      <c r="AB32" s="180">
        <f t="shared" si="56"/>
        <v>0</v>
      </c>
      <c r="AC32" s="180">
        <f t="shared" si="57"/>
        <v>0</v>
      </c>
      <c r="AD32" s="180">
        <f t="shared" si="58"/>
        <v>0</v>
      </c>
      <c r="AE32" s="181">
        <f t="shared" si="59"/>
        <v>0</v>
      </c>
      <c r="AF32" s="179">
        <f t="shared" si="9"/>
        <v>0</v>
      </c>
      <c r="AG32" s="180">
        <f t="shared" si="60"/>
        <v>0</v>
      </c>
      <c r="AH32" s="180">
        <f t="shared" si="61"/>
        <v>0</v>
      </c>
      <c r="AI32" s="180">
        <f t="shared" si="62"/>
        <v>0</v>
      </c>
      <c r="AJ32" s="181">
        <f t="shared" si="63"/>
        <v>0</v>
      </c>
      <c r="AK32" s="184" t="b">
        <f t="shared" si="10"/>
        <v>1</v>
      </c>
      <c r="AL32" s="265" t="b">
        <f t="shared" si="11"/>
        <v>1</v>
      </c>
      <c r="AM32" s="21" t="b">
        <f t="shared" si="12"/>
        <v>0</v>
      </c>
      <c r="AN32" s="21" t="b">
        <f t="shared" si="13"/>
        <v>1</v>
      </c>
      <c r="AO32" s="186" t="b">
        <f>IF(OR(COUNTBLANK(D32:I32)=6,AND(COUNTBLANK(D32:G32)=4,H32=0)),OR(AN33:AN$67),NOT(AN32))</f>
        <v>0</v>
      </c>
      <c r="AP32" s="21" t="b">
        <f t="shared" si="14"/>
        <v>0</v>
      </c>
      <c r="AQ32" s="21" t="b">
        <f t="shared" si="64"/>
        <v>1</v>
      </c>
      <c r="AR32" s="22">
        <f t="shared" si="15"/>
        <v>75</v>
      </c>
      <c r="AS32" s="22">
        <f t="shared" si="16"/>
        <v>5</v>
      </c>
      <c r="AT32" s="199">
        <f t="shared" si="65"/>
        <v>5</v>
      </c>
      <c r="AU32" s="200" t="str">
        <f t="shared" si="17"/>
        <v/>
      </c>
      <c r="AV32" s="68" t="str">
        <f t="shared" si="18"/>
        <v/>
      </c>
      <c r="AW32" s="169"/>
      <c r="AX32" s="68" t="str">
        <f t="shared" si="66"/>
        <v/>
      </c>
      <c r="AY32" s="476"/>
      <c r="AZ32" s="476"/>
      <c r="BA32" s="189" t="e">
        <f t="shared" ca="1" si="19"/>
        <v>#VALUE!</v>
      </c>
      <c r="BB32" s="190" t="e">
        <f t="shared" ca="1" si="20"/>
        <v>#VALUE!</v>
      </c>
      <c r="BC32" s="191" t="e">
        <f t="shared" ca="1" si="21"/>
        <v>#VALUE!</v>
      </c>
      <c r="BD32" s="189" t="e">
        <f t="shared" ca="1" si="22"/>
        <v>#VALUE!</v>
      </c>
      <c r="BE32" s="189" t="e">
        <f t="shared" ca="1" si="23"/>
        <v>#VALUE!</v>
      </c>
      <c r="BF32" s="190" t="e">
        <f t="shared" ca="1" si="24"/>
        <v>#VALUE!</v>
      </c>
      <c r="BG32" s="191" t="b">
        <f t="shared" ca="1" si="25"/>
        <v>0</v>
      </c>
      <c r="BH32" s="189" t="b">
        <f t="shared" ca="1" si="26"/>
        <v>0</v>
      </c>
      <c r="BI32" s="190" t="b">
        <f t="shared" ca="1" si="67"/>
        <v>0</v>
      </c>
      <c r="BJ32" s="192" t="e">
        <f t="shared" si="27"/>
        <v>#VALUE!</v>
      </c>
      <c r="BK32" s="193" t="e">
        <f t="shared" ca="1" si="28"/>
        <v>#VALUE!</v>
      </c>
      <c r="BL32" s="176" t="e">
        <f t="shared" ca="1" si="29"/>
        <v>#VALUE!</v>
      </c>
      <c r="BN32" s="142">
        <f t="shared" ca="1" si="30"/>
        <v>1</v>
      </c>
      <c r="BP32" s="51">
        <v>5</v>
      </c>
      <c r="BQ32" s="51">
        <f t="shared" si="31"/>
        <v>10</v>
      </c>
      <c r="BS32"/>
      <c r="BT32" s="75"/>
      <c r="BU32" s="74"/>
      <c r="BV32" s="59"/>
      <c r="BW32" s="280"/>
      <c r="BX32" s="276"/>
      <c r="BY32" s="417">
        <f t="shared" si="32"/>
        <v>5</v>
      </c>
      <c r="BZ32" s="344" t="str">
        <f t="shared" si="33"/>
        <v>Laundry</v>
      </c>
      <c r="CA32" s="344" t="str">
        <f t="shared" si="34"/>
        <v>Class 1 building</v>
      </c>
      <c r="CB32" s="345">
        <f t="shared" si="35"/>
        <v>5</v>
      </c>
      <c r="CC32" s="346" t="str">
        <f>IF(AQ32,IF(ISNUMBER(#REF!),MAX('Adjustment factors'!$S$16,0.2+0.8*#REF!),IF(ISTEXT(J32),VLOOKUP(J32,Afactors,2,FALSE),"")),"")</f>
        <v/>
      </c>
      <c r="CD32" s="347">
        <f t="shared" si="36"/>
        <v>5</v>
      </c>
      <c r="CE32" s="348"/>
      <c r="CF32" s="348"/>
      <c r="CG32" s="280"/>
      <c r="CH32" s="280"/>
      <c r="CI32" s="276"/>
      <c r="CJ32" s="276"/>
      <c r="CK32" s="276"/>
      <c r="CL32" s="276"/>
      <c r="CM32" s="276"/>
      <c r="CN32" s="276"/>
      <c r="CO32" s="276"/>
      <c r="CP32" s="276"/>
      <c r="CQ32" s="276"/>
      <c r="CR32" s="276"/>
      <c r="CS32" s="276"/>
      <c r="CU32" s="142" t="str">
        <f t="shared" si="37"/>
        <v>OK</v>
      </c>
      <c r="CV32" s="142" t="str">
        <f t="shared" si="38"/>
        <v>OK</v>
      </c>
      <c r="CW32" s="142" t="str">
        <f t="shared" si="39"/>
        <v>OK</v>
      </c>
      <c r="CX32" s="142" t="str">
        <f t="shared" si="40"/>
        <v>OK</v>
      </c>
      <c r="CY32" s="143" t="str">
        <f t="shared" si="41"/>
        <v>OK</v>
      </c>
      <c r="CZ32" s="132" t="str">
        <f t="shared" si="42"/>
        <v>OK</v>
      </c>
      <c r="DA32" s="132" t="str">
        <f t="shared" si="43"/>
        <v>OK</v>
      </c>
      <c r="DB32" s="132" t="str">
        <f t="shared" si="44"/>
        <v>OK</v>
      </c>
      <c r="DC32" s="132" t="str">
        <f>IF(AND(ISNUMBER(#REF!),J32&lt;&gt;FixedDim),"Select fixed dimming with an illuminance factor","OK")</f>
        <v>OK</v>
      </c>
      <c r="DD32" s="132" t="str">
        <f>IF(AND(NOT(ISNUMBER(#REF!)),J32=FixedDim),"Enter an illuminance factor","OK")</f>
        <v>OK</v>
      </c>
      <c r="DE32" s="132" t="str">
        <f t="shared" si="68"/>
        <v>OK</v>
      </c>
      <c r="DF32" s="267" t="str">
        <f t="shared" si="45"/>
        <v>OK</v>
      </c>
      <c r="DG32" s="267" t="str">
        <f t="shared" si="46"/>
        <v>OK</v>
      </c>
      <c r="DH32" s="267" t="str">
        <f t="shared" si="47"/>
        <v>OK</v>
      </c>
      <c r="DI32" s="143" t="str">
        <f t="shared" si="48"/>
        <v>OK</v>
      </c>
      <c r="DJ32" s="134">
        <f t="shared" ca="1" si="49"/>
        <v>0</v>
      </c>
      <c r="DK32" s="133" t="str">
        <f t="shared" si="50"/>
        <v>OK</v>
      </c>
    </row>
    <row r="33" spans="1:115" ht="36" customHeight="1" x14ac:dyDescent="0.5">
      <c r="A33" s="197"/>
      <c r="B33" s="416">
        <f t="shared" si="0"/>
        <v>10</v>
      </c>
      <c r="C33" s="342">
        <v>6</v>
      </c>
      <c r="D33" s="420" t="s">
        <v>404</v>
      </c>
      <c r="E33" s="421" t="s">
        <v>200</v>
      </c>
      <c r="F33" s="422">
        <v>20</v>
      </c>
      <c r="G33" s="423">
        <v>75</v>
      </c>
      <c r="H33" s="530" t="s">
        <v>407</v>
      </c>
      <c r="I33" s="530"/>
      <c r="J33" s="424"/>
      <c r="K33" s="428"/>
      <c r="L33" s="428"/>
      <c r="M33" s="429"/>
      <c r="N33" s="418">
        <f t="shared" si="1"/>
        <v>5</v>
      </c>
      <c r="O33" s="418" t="str">
        <f t="shared" si="51"/>
        <v/>
      </c>
      <c r="P33" s="419" t="e">
        <f t="shared" ca="1" si="2"/>
        <v>#VALUE!</v>
      </c>
      <c r="Q33" s="343"/>
      <c r="R33" s="67" t="str">
        <f t="shared" si="3"/>
        <v/>
      </c>
      <c r="S33" s="20" t="b">
        <f t="shared" si="4"/>
        <v>0</v>
      </c>
      <c r="T33" s="19" t="str">
        <f t="shared" si="52"/>
        <v/>
      </c>
      <c r="U33" s="19">
        <f t="shared" si="5"/>
        <v>5</v>
      </c>
      <c r="V33" s="179">
        <f t="shared" si="6"/>
        <v>20</v>
      </c>
      <c r="W33" s="180">
        <f t="shared" si="53"/>
        <v>75</v>
      </c>
      <c r="X33" s="180">
        <f t="shared" si="54"/>
        <v>5</v>
      </c>
      <c r="Y33" s="180">
        <f t="shared" si="7"/>
        <v>100</v>
      </c>
      <c r="Z33" s="181" t="str">
        <f t="shared" si="55"/>
        <v/>
      </c>
      <c r="AA33" s="179">
        <f t="shared" si="8"/>
        <v>0</v>
      </c>
      <c r="AB33" s="180">
        <f t="shared" si="56"/>
        <v>0</v>
      </c>
      <c r="AC33" s="180">
        <f t="shared" si="57"/>
        <v>0</v>
      </c>
      <c r="AD33" s="180">
        <f t="shared" si="58"/>
        <v>0</v>
      </c>
      <c r="AE33" s="181">
        <f t="shared" si="59"/>
        <v>0</v>
      </c>
      <c r="AF33" s="179">
        <f t="shared" si="9"/>
        <v>0</v>
      </c>
      <c r="AG33" s="180">
        <f t="shared" si="60"/>
        <v>0</v>
      </c>
      <c r="AH33" s="180">
        <f t="shared" si="61"/>
        <v>0</v>
      </c>
      <c r="AI33" s="180">
        <f t="shared" si="62"/>
        <v>0</v>
      </c>
      <c r="AJ33" s="181">
        <f t="shared" si="63"/>
        <v>0</v>
      </c>
      <c r="AK33" s="184" t="b">
        <f t="shared" si="10"/>
        <v>1</v>
      </c>
      <c r="AL33" s="265" t="b">
        <f t="shared" si="11"/>
        <v>1</v>
      </c>
      <c r="AM33" s="21" t="b">
        <f t="shared" si="12"/>
        <v>0</v>
      </c>
      <c r="AN33" s="21" t="b">
        <f t="shared" si="13"/>
        <v>1</v>
      </c>
      <c r="AO33" s="186" t="b">
        <f>IF(OR(COUNTBLANK(D33:I33)=6,AND(COUNTBLANK(D33:G33)=4,H33=0)),OR(AN34:AN$67),NOT(AN33))</f>
        <v>0</v>
      </c>
      <c r="AP33" s="21" t="b">
        <f t="shared" si="14"/>
        <v>0</v>
      </c>
      <c r="AQ33" s="21" t="b">
        <f t="shared" si="64"/>
        <v>1</v>
      </c>
      <c r="AR33" s="22">
        <f t="shared" si="15"/>
        <v>75</v>
      </c>
      <c r="AS33" s="22">
        <f t="shared" si="16"/>
        <v>5</v>
      </c>
      <c r="AT33" s="199">
        <f t="shared" si="65"/>
        <v>5</v>
      </c>
      <c r="AU33" s="200" t="str">
        <f t="shared" si="17"/>
        <v/>
      </c>
      <c r="AV33" s="68" t="str">
        <f t="shared" si="18"/>
        <v/>
      </c>
      <c r="AW33" s="169"/>
      <c r="AX33" s="68" t="str">
        <f t="shared" si="66"/>
        <v/>
      </c>
      <c r="AY33" s="476"/>
      <c r="AZ33" s="476"/>
      <c r="BA33" s="189" t="e">
        <f t="shared" ca="1" si="19"/>
        <v>#VALUE!</v>
      </c>
      <c r="BB33" s="190" t="e">
        <f t="shared" ca="1" si="20"/>
        <v>#VALUE!</v>
      </c>
      <c r="BC33" s="191" t="e">
        <f t="shared" ca="1" si="21"/>
        <v>#VALUE!</v>
      </c>
      <c r="BD33" s="189" t="e">
        <f t="shared" ca="1" si="22"/>
        <v>#VALUE!</v>
      </c>
      <c r="BE33" s="189" t="e">
        <f t="shared" ca="1" si="23"/>
        <v>#VALUE!</v>
      </c>
      <c r="BF33" s="190" t="e">
        <f t="shared" ca="1" si="24"/>
        <v>#VALUE!</v>
      </c>
      <c r="BG33" s="191" t="b">
        <f t="shared" ca="1" si="25"/>
        <v>0</v>
      </c>
      <c r="BH33" s="189" t="b">
        <f t="shared" ca="1" si="26"/>
        <v>0</v>
      </c>
      <c r="BI33" s="190" t="b">
        <f t="shared" ca="1" si="67"/>
        <v>0</v>
      </c>
      <c r="BJ33" s="192" t="e">
        <f t="shared" si="27"/>
        <v>#VALUE!</v>
      </c>
      <c r="BK33" s="193" t="e">
        <f t="shared" ca="1" si="28"/>
        <v>#VALUE!</v>
      </c>
      <c r="BL33" s="176" t="e">
        <f t="shared" ca="1" si="29"/>
        <v>#VALUE!</v>
      </c>
      <c r="BN33" s="142">
        <f t="shared" ca="1" si="30"/>
        <v>1</v>
      </c>
      <c r="BP33" s="51">
        <v>6</v>
      </c>
      <c r="BQ33" s="51">
        <f t="shared" si="31"/>
        <v>10</v>
      </c>
      <c r="BS33"/>
      <c r="BT33" s="75"/>
      <c r="BU33" s="73"/>
      <c r="BV33" s="59"/>
      <c r="BW33" s="280"/>
      <c r="BX33" s="276"/>
      <c r="BY33" s="417">
        <f t="shared" si="32"/>
        <v>6</v>
      </c>
      <c r="BZ33" s="344" t="str">
        <f t="shared" si="33"/>
        <v>Bed 2</v>
      </c>
      <c r="CA33" s="344" t="str">
        <f t="shared" si="34"/>
        <v>Class 1 building</v>
      </c>
      <c r="CB33" s="345">
        <f t="shared" si="35"/>
        <v>5</v>
      </c>
      <c r="CC33" s="346" t="str">
        <f>IF(AQ33,IF(ISNUMBER(#REF!),MAX('Adjustment factors'!$S$16,0.2+0.8*#REF!),IF(ISTEXT(J33),VLOOKUP(J33,Afactors,2,FALSE),"")),"")</f>
        <v/>
      </c>
      <c r="CD33" s="347">
        <f t="shared" si="36"/>
        <v>5</v>
      </c>
      <c r="CE33" s="348"/>
      <c r="CF33" s="348"/>
      <c r="CG33" s="280"/>
      <c r="CH33" s="280"/>
      <c r="CI33" s="276"/>
      <c r="CJ33" s="276"/>
      <c r="CK33" s="276"/>
      <c r="CL33" s="276"/>
      <c r="CM33" s="276"/>
      <c r="CN33" s="276"/>
      <c r="CO33" s="276"/>
      <c r="CP33" s="276"/>
      <c r="CQ33" s="276"/>
      <c r="CR33" s="276"/>
      <c r="CS33" s="276"/>
      <c r="CU33" s="142" t="str">
        <f t="shared" si="37"/>
        <v>OK</v>
      </c>
      <c r="CV33" s="142" t="str">
        <f t="shared" si="38"/>
        <v>OK</v>
      </c>
      <c r="CW33" s="142" t="str">
        <f t="shared" si="39"/>
        <v>OK</v>
      </c>
      <c r="CX33" s="142" t="str">
        <f t="shared" si="40"/>
        <v>OK</v>
      </c>
      <c r="CY33" s="143" t="str">
        <f t="shared" si="41"/>
        <v>OK</v>
      </c>
      <c r="CZ33" s="132" t="str">
        <f t="shared" si="42"/>
        <v>OK</v>
      </c>
      <c r="DA33" s="132" t="str">
        <f t="shared" si="43"/>
        <v>OK</v>
      </c>
      <c r="DB33" s="132" t="str">
        <f t="shared" si="44"/>
        <v>OK</v>
      </c>
      <c r="DC33" s="132" t="str">
        <f>IF(AND(ISNUMBER(#REF!),J33&lt;&gt;FixedDim),"Select fixed dimming with an illuminance factor","OK")</f>
        <v>OK</v>
      </c>
      <c r="DD33" s="132" t="str">
        <f>IF(AND(NOT(ISNUMBER(#REF!)),J33=FixedDim),"Enter an illuminance factor","OK")</f>
        <v>OK</v>
      </c>
      <c r="DE33" s="132" t="str">
        <f t="shared" si="68"/>
        <v>OK</v>
      </c>
      <c r="DF33" s="267" t="str">
        <f t="shared" si="45"/>
        <v>OK</v>
      </c>
      <c r="DG33" s="267" t="str">
        <f t="shared" si="46"/>
        <v>OK</v>
      </c>
      <c r="DH33" s="267" t="str">
        <f t="shared" si="47"/>
        <v>OK</v>
      </c>
      <c r="DI33" s="143" t="str">
        <f t="shared" si="48"/>
        <v>OK</v>
      </c>
      <c r="DJ33" s="134">
        <f t="shared" ca="1" si="49"/>
        <v>0</v>
      </c>
      <c r="DK33" s="133" t="str">
        <f t="shared" si="50"/>
        <v>OK</v>
      </c>
    </row>
    <row r="34" spans="1:115" ht="18" customHeight="1" x14ac:dyDescent="0.5">
      <c r="A34" s="197"/>
      <c r="B34" s="416">
        <f t="shared" si="0"/>
        <v>10</v>
      </c>
      <c r="C34" s="342">
        <v>7</v>
      </c>
      <c r="D34" s="420" t="s">
        <v>405</v>
      </c>
      <c r="E34" s="421" t="s">
        <v>200</v>
      </c>
      <c r="F34" s="422">
        <v>20</v>
      </c>
      <c r="G34" s="423">
        <v>75</v>
      </c>
      <c r="H34" s="530" t="s">
        <v>407</v>
      </c>
      <c r="I34" s="530"/>
      <c r="J34" s="424"/>
      <c r="K34" s="428"/>
      <c r="L34" s="428"/>
      <c r="M34" s="429"/>
      <c r="N34" s="418">
        <f t="shared" si="1"/>
        <v>5</v>
      </c>
      <c r="O34" s="418" t="str">
        <f t="shared" si="51"/>
        <v/>
      </c>
      <c r="P34" s="419" t="e">
        <f t="shared" ca="1" si="2"/>
        <v>#VALUE!</v>
      </c>
      <c r="Q34" s="343"/>
      <c r="R34" s="67" t="str">
        <f t="shared" si="3"/>
        <v/>
      </c>
      <c r="S34" s="20" t="b">
        <f t="shared" si="4"/>
        <v>0</v>
      </c>
      <c r="T34" s="19" t="str">
        <f t="shared" si="52"/>
        <v/>
      </c>
      <c r="U34" s="19">
        <f t="shared" si="5"/>
        <v>5</v>
      </c>
      <c r="V34" s="179">
        <f t="shared" si="6"/>
        <v>20</v>
      </c>
      <c r="W34" s="180">
        <f t="shared" si="53"/>
        <v>75</v>
      </c>
      <c r="X34" s="180">
        <f t="shared" si="54"/>
        <v>5</v>
      </c>
      <c r="Y34" s="180">
        <f t="shared" si="7"/>
        <v>100</v>
      </c>
      <c r="Z34" s="181" t="str">
        <f t="shared" si="55"/>
        <v/>
      </c>
      <c r="AA34" s="179">
        <f t="shared" si="8"/>
        <v>0</v>
      </c>
      <c r="AB34" s="180">
        <f t="shared" si="56"/>
        <v>0</v>
      </c>
      <c r="AC34" s="180">
        <f t="shared" si="57"/>
        <v>0</v>
      </c>
      <c r="AD34" s="180">
        <f t="shared" si="58"/>
        <v>0</v>
      </c>
      <c r="AE34" s="181">
        <f t="shared" si="59"/>
        <v>0</v>
      </c>
      <c r="AF34" s="179">
        <f t="shared" si="9"/>
        <v>0</v>
      </c>
      <c r="AG34" s="180">
        <f t="shared" si="60"/>
        <v>0</v>
      </c>
      <c r="AH34" s="180">
        <f t="shared" si="61"/>
        <v>0</v>
      </c>
      <c r="AI34" s="180">
        <f t="shared" si="62"/>
        <v>0</v>
      </c>
      <c r="AJ34" s="181">
        <f t="shared" si="63"/>
        <v>0</v>
      </c>
      <c r="AK34" s="184" t="b">
        <f t="shared" si="10"/>
        <v>1</v>
      </c>
      <c r="AL34" s="265" t="b">
        <f t="shared" si="11"/>
        <v>1</v>
      </c>
      <c r="AM34" s="21" t="b">
        <f t="shared" si="12"/>
        <v>0</v>
      </c>
      <c r="AN34" s="21" t="b">
        <f t="shared" si="13"/>
        <v>1</v>
      </c>
      <c r="AO34" s="186" t="b">
        <f>IF(OR(COUNTBLANK(D34:I34)=6,AND(COUNTBLANK(D34:G34)=4,H34=0)),OR(AN35:AN$67),NOT(AN34))</f>
        <v>0</v>
      </c>
      <c r="AP34" s="21" t="b">
        <f t="shared" si="14"/>
        <v>0</v>
      </c>
      <c r="AQ34" s="21" t="b">
        <f t="shared" si="64"/>
        <v>1</v>
      </c>
      <c r="AR34" s="22">
        <f t="shared" si="15"/>
        <v>75</v>
      </c>
      <c r="AS34" s="22">
        <f t="shared" si="16"/>
        <v>5</v>
      </c>
      <c r="AT34" s="199">
        <f t="shared" si="65"/>
        <v>5</v>
      </c>
      <c r="AU34" s="200" t="str">
        <f t="shared" si="17"/>
        <v/>
      </c>
      <c r="AV34" s="68" t="str">
        <f t="shared" si="18"/>
        <v/>
      </c>
      <c r="AW34" s="169"/>
      <c r="AX34" s="68" t="str">
        <f t="shared" si="66"/>
        <v/>
      </c>
      <c r="AY34" s="476"/>
      <c r="AZ34" s="476"/>
      <c r="BA34" s="189" t="e">
        <f t="shared" ca="1" si="19"/>
        <v>#VALUE!</v>
      </c>
      <c r="BB34" s="190" t="e">
        <f t="shared" ca="1" si="20"/>
        <v>#VALUE!</v>
      </c>
      <c r="BC34" s="191" t="e">
        <f t="shared" ca="1" si="21"/>
        <v>#VALUE!</v>
      </c>
      <c r="BD34" s="189" t="e">
        <f t="shared" ca="1" si="22"/>
        <v>#VALUE!</v>
      </c>
      <c r="BE34" s="189" t="e">
        <f t="shared" ca="1" si="23"/>
        <v>#VALUE!</v>
      </c>
      <c r="BF34" s="190" t="e">
        <f t="shared" ca="1" si="24"/>
        <v>#VALUE!</v>
      </c>
      <c r="BG34" s="191" t="b">
        <f t="shared" ca="1" si="25"/>
        <v>0</v>
      </c>
      <c r="BH34" s="189" t="b">
        <f t="shared" ca="1" si="26"/>
        <v>0</v>
      </c>
      <c r="BI34" s="190" t="b">
        <f t="shared" ca="1" si="67"/>
        <v>0</v>
      </c>
      <c r="BJ34" s="192" t="e">
        <f t="shared" si="27"/>
        <v>#VALUE!</v>
      </c>
      <c r="BK34" s="193" t="e">
        <f t="shared" ca="1" si="28"/>
        <v>#VALUE!</v>
      </c>
      <c r="BL34" s="176" t="e">
        <f t="shared" ca="1" si="29"/>
        <v>#VALUE!</v>
      </c>
      <c r="BN34" s="142">
        <f t="shared" ca="1" si="30"/>
        <v>1</v>
      </c>
      <c r="BP34" s="51">
        <v>7</v>
      </c>
      <c r="BQ34" s="51">
        <f t="shared" si="31"/>
        <v>10</v>
      </c>
      <c r="BS34"/>
      <c r="BT34" s="75"/>
      <c r="BU34" s="73"/>
      <c r="BV34" s="59"/>
      <c r="BW34" s="280"/>
      <c r="BX34" s="276"/>
      <c r="BY34" s="417">
        <f t="shared" si="32"/>
        <v>7</v>
      </c>
      <c r="BZ34" s="344" t="str">
        <f t="shared" si="33"/>
        <v>Bed 3</v>
      </c>
      <c r="CA34" s="344" t="str">
        <f t="shared" si="34"/>
        <v>Class 1 building</v>
      </c>
      <c r="CB34" s="345">
        <f t="shared" si="35"/>
        <v>5</v>
      </c>
      <c r="CC34" s="346" t="str">
        <f>IF(AQ34,IF(ISNUMBER(#REF!),MAX('Adjustment factors'!$S$16,0.2+0.8*#REF!),IF(ISTEXT(J34),VLOOKUP(J34,Afactors,2,FALSE),"")),"")</f>
        <v/>
      </c>
      <c r="CD34" s="347">
        <f t="shared" si="36"/>
        <v>5</v>
      </c>
      <c r="CE34" s="348"/>
      <c r="CF34" s="348"/>
      <c r="CG34" s="280"/>
      <c r="CH34" s="280"/>
      <c r="CI34" s="276"/>
      <c r="CJ34" s="276"/>
      <c r="CK34" s="276"/>
      <c r="CL34" s="276"/>
      <c r="CM34" s="276"/>
      <c r="CN34" s="276"/>
      <c r="CO34" s="276"/>
      <c r="CP34" s="276"/>
      <c r="CQ34" s="276"/>
      <c r="CR34" s="276"/>
      <c r="CS34" s="276"/>
      <c r="CU34" s="142" t="str">
        <f t="shared" si="37"/>
        <v>OK</v>
      </c>
      <c r="CV34" s="142" t="str">
        <f t="shared" si="38"/>
        <v>OK</v>
      </c>
      <c r="CW34" s="142" t="str">
        <f t="shared" si="39"/>
        <v>OK</v>
      </c>
      <c r="CX34" s="142" t="str">
        <f t="shared" si="40"/>
        <v>OK</v>
      </c>
      <c r="CY34" s="143" t="str">
        <f t="shared" si="41"/>
        <v>OK</v>
      </c>
      <c r="CZ34" s="132" t="str">
        <f t="shared" si="42"/>
        <v>OK</v>
      </c>
      <c r="DA34" s="132" t="str">
        <f t="shared" si="43"/>
        <v>OK</v>
      </c>
      <c r="DB34" s="132" t="str">
        <f t="shared" si="44"/>
        <v>OK</v>
      </c>
      <c r="DC34" s="132" t="str">
        <f>IF(AND(ISNUMBER(#REF!),J34&lt;&gt;FixedDim),"Select fixed dimming with an illuminance factor","OK")</f>
        <v>OK</v>
      </c>
      <c r="DD34" s="132" t="str">
        <f>IF(AND(NOT(ISNUMBER(#REF!)),J34=FixedDim),"Enter an illuminance factor","OK")</f>
        <v>OK</v>
      </c>
      <c r="DE34" s="132" t="str">
        <f t="shared" si="68"/>
        <v>OK</v>
      </c>
      <c r="DF34" s="267" t="str">
        <f t="shared" si="45"/>
        <v>OK</v>
      </c>
      <c r="DG34" s="267" t="str">
        <f t="shared" si="46"/>
        <v>OK</v>
      </c>
      <c r="DH34" s="267" t="str">
        <f t="shared" si="47"/>
        <v>OK</v>
      </c>
      <c r="DI34" s="143" t="str">
        <f t="shared" si="48"/>
        <v>OK</v>
      </c>
      <c r="DJ34" s="134">
        <f t="shared" ca="1" si="49"/>
        <v>0</v>
      </c>
      <c r="DK34" s="133" t="str">
        <f t="shared" si="50"/>
        <v>OK</v>
      </c>
    </row>
    <row r="35" spans="1:115" ht="34.5" x14ac:dyDescent="0.5">
      <c r="A35" s="197"/>
      <c r="B35" s="416">
        <f t="shared" si="0"/>
        <v>10</v>
      </c>
      <c r="C35" s="342">
        <v>8</v>
      </c>
      <c r="D35" s="420" t="s">
        <v>406</v>
      </c>
      <c r="E35" s="421" t="s">
        <v>91</v>
      </c>
      <c r="F35" s="422">
        <v>20</v>
      </c>
      <c r="G35" s="423">
        <v>75</v>
      </c>
      <c r="H35" s="530" t="s">
        <v>91</v>
      </c>
      <c r="I35" s="530"/>
      <c r="J35" s="424"/>
      <c r="K35" s="428"/>
      <c r="L35" s="428"/>
      <c r="M35" s="429"/>
      <c r="N35" s="418">
        <f t="shared" si="1"/>
        <v>4</v>
      </c>
      <c r="O35" s="418" t="str">
        <f t="shared" si="51"/>
        <v/>
      </c>
      <c r="P35" s="419" t="e">
        <f t="shared" ca="1" si="2"/>
        <v>#VALUE!</v>
      </c>
      <c r="Q35" s="343"/>
      <c r="R35" s="67" t="str">
        <f t="shared" si="3"/>
        <v/>
      </c>
      <c r="S35" s="20" t="b">
        <f t="shared" si="4"/>
        <v>0</v>
      </c>
      <c r="T35" s="19" t="str">
        <f t="shared" si="52"/>
        <v/>
      </c>
      <c r="U35" s="19">
        <f t="shared" si="5"/>
        <v>4</v>
      </c>
      <c r="V35" s="179">
        <f t="shared" si="6"/>
        <v>0</v>
      </c>
      <c r="W35" s="180">
        <f t="shared" si="53"/>
        <v>0</v>
      </c>
      <c r="X35" s="180">
        <f t="shared" si="54"/>
        <v>0</v>
      </c>
      <c r="Y35" s="180">
        <f t="shared" si="7"/>
        <v>0</v>
      </c>
      <c r="Z35" s="181">
        <f t="shared" si="55"/>
        <v>0</v>
      </c>
      <c r="AA35" s="179">
        <f t="shared" si="8"/>
        <v>20</v>
      </c>
      <c r="AB35" s="180">
        <f t="shared" si="56"/>
        <v>75</v>
      </c>
      <c r="AC35" s="180">
        <f t="shared" si="57"/>
        <v>4</v>
      </c>
      <c r="AD35" s="180">
        <f t="shared" si="58"/>
        <v>80</v>
      </c>
      <c r="AE35" s="181" t="str">
        <f t="shared" si="59"/>
        <v/>
      </c>
      <c r="AF35" s="179">
        <f t="shared" si="9"/>
        <v>0</v>
      </c>
      <c r="AG35" s="180">
        <f t="shared" si="60"/>
        <v>0</v>
      </c>
      <c r="AH35" s="180">
        <f t="shared" si="61"/>
        <v>0</v>
      </c>
      <c r="AI35" s="180">
        <f t="shared" si="62"/>
        <v>0</v>
      </c>
      <c r="AJ35" s="181">
        <f t="shared" si="63"/>
        <v>0</v>
      </c>
      <c r="AK35" s="184" t="b">
        <f t="shared" si="10"/>
        <v>1</v>
      </c>
      <c r="AL35" s="265" t="b">
        <f t="shared" si="11"/>
        <v>1</v>
      </c>
      <c r="AM35" s="21" t="b">
        <f t="shared" si="12"/>
        <v>1</v>
      </c>
      <c r="AN35" s="21" t="b">
        <f t="shared" si="13"/>
        <v>1</v>
      </c>
      <c r="AO35" s="186" t="b">
        <f>IF(OR(COUNTBLANK(D35:I35)=6,AND(COUNTBLANK(D35:G35)=4,H35=0)),OR(AN36:AN$67),NOT(AN35))</f>
        <v>0</v>
      </c>
      <c r="AP35" s="21" t="b">
        <f t="shared" si="14"/>
        <v>0</v>
      </c>
      <c r="AQ35" s="21" t="b">
        <f t="shared" si="64"/>
        <v>1</v>
      </c>
      <c r="AR35" s="22">
        <f t="shared" si="15"/>
        <v>75</v>
      </c>
      <c r="AS35" s="22">
        <f t="shared" si="16"/>
        <v>4</v>
      </c>
      <c r="AT35" s="199">
        <f t="shared" si="65"/>
        <v>4</v>
      </c>
      <c r="AU35" s="200" t="str">
        <f t="shared" si="17"/>
        <v/>
      </c>
      <c r="AV35" s="68" t="str">
        <f t="shared" si="18"/>
        <v/>
      </c>
      <c r="AW35" s="169"/>
      <c r="AX35" s="68" t="str">
        <f t="shared" si="66"/>
        <v/>
      </c>
      <c r="AY35" s="476"/>
      <c r="AZ35" s="476"/>
      <c r="BA35" s="189" t="e">
        <f t="shared" ca="1" si="19"/>
        <v>#VALUE!</v>
      </c>
      <c r="BB35" s="190" t="e">
        <f t="shared" ca="1" si="20"/>
        <v>#VALUE!</v>
      </c>
      <c r="BC35" s="191" t="e">
        <f t="shared" ca="1" si="21"/>
        <v>#VALUE!</v>
      </c>
      <c r="BD35" s="189" t="e">
        <f t="shared" ca="1" si="22"/>
        <v>#VALUE!</v>
      </c>
      <c r="BE35" s="189" t="e">
        <f t="shared" ca="1" si="23"/>
        <v>#VALUE!</v>
      </c>
      <c r="BF35" s="190" t="e">
        <f t="shared" ca="1" si="24"/>
        <v>#VALUE!</v>
      </c>
      <c r="BG35" s="191" t="b">
        <f t="shared" ca="1" si="25"/>
        <v>0</v>
      </c>
      <c r="BH35" s="189" t="b">
        <f t="shared" ca="1" si="26"/>
        <v>0</v>
      </c>
      <c r="BI35" s="190" t="b">
        <f t="shared" ca="1" si="67"/>
        <v>0</v>
      </c>
      <c r="BJ35" s="192" t="e">
        <f t="shared" si="27"/>
        <v>#VALUE!</v>
      </c>
      <c r="BK35" s="193" t="e">
        <f t="shared" ca="1" si="28"/>
        <v>#VALUE!</v>
      </c>
      <c r="BL35" s="176" t="e">
        <f t="shared" ca="1" si="29"/>
        <v>#VALUE!</v>
      </c>
      <c r="BN35" s="142">
        <f t="shared" ca="1" si="30"/>
        <v>2</v>
      </c>
      <c r="BP35" s="51">
        <v>8</v>
      </c>
      <c r="BQ35" s="51">
        <f t="shared" si="31"/>
        <v>10</v>
      </c>
      <c r="BS35"/>
      <c r="BT35" s="75"/>
      <c r="BU35" s="74"/>
      <c r="BV35" s="59"/>
      <c r="BW35" s="280"/>
      <c r="BX35" s="276"/>
      <c r="BY35" s="417">
        <f t="shared" si="32"/>
        <v>8</v>
      </c>
      <c r="BZ35" s="344" t="str">
        <f t="shared" si="33"/>
        <v>Verandah</v>
      </c>
      <c r="CA35" s="344" t="str">
        <f t="shared" si="34"/>
        <v>Verandah or balcony</v>
      </c>
      <c r="CB35" s="345">
        <f t="shared" si="35"/>
        <v>4</v>
      </c>
      <c r="CC35" s="346" t="str">
        <f>IF(AQ35,IF(ISNUMBER(#REF!),MAX('Adjustment factors'!$S$16,0.2+0.8*#REF!),IF(ISTEXT(J35),VLOOKUP(J35,Afactors,2,FALSE),"")),"")</f>
        <v/>
      </c>
      <c r="CD35" s="347">
        <f t="shared" si="36"/>
        <v>4</v>
      </c>
      <c r="CE35" s="348"/>
      <c r="CF35" s="348"/>
      <c r="CG35" s="280"/>
      <c r="CH35" s="280"/>
      <c r="CI35" s="276"/>
      <c r="CJ35" s="276"/>
      <c r="CK35" s="276"/>
      <c r="CL35" s="276"/>
      <c r="CM35" s="276"/>
      <c r="CN35" s="276"/>
      <c r="CO35" s="276"/>
      <c r="CP35" s="276"/>
      <c r="CQ35" s="276"/>
      <c r="CR35" s="276"/>
      <c r="CS35" s="276"/>
      <c r="CU35" s="142" t="str">
        <f t="shared" si="37"/>
        <v>OK</v>
      </c>
      <c r="CV35" s="142" t="str">
        <f t="shared" si="38"/>
        <v>OK</v>
      </c>
      <c r="CW35" s="142" t="str">
        <f t="shared" si="39"/>
        <v>OK</v>
      </c>
      <c r="CX35" s="142" t="str">
        <f t="shared" si="40"/>
        <v>OK</v>
      </c>
      <c r="CY35" s="143" t="str">
        <f t="shared" si="41"/>
        <v>OK</v>
      </c>
      <c r="CZ35" s="132" t="str">
        <f t="shared" si="42"/>
        <v>OK</v>
      </c>
      <c r="DA35" s="132" t="str">
        <f t="shared" si="43"/>
        <v>OK</v>
      </c>
      <c r="DB35" s="132" t="str">
        <f t="shared" si="44"/>
        <v>OK</v>
      </c>
      <c r="DC35" s="132" t="str">
        <f>IF(AND(ISNUMBER(#REF!),J35&lt;&gt;FixedDim),"Select fixed dimming with an illuminance factor","OK")</f>
        <v>OK</v>
      </c>
      <c r="DD35" s="132" t="str">
        <f>IF(AND(NOT(ISNUMBER(#REF!)),J35=FixedDim),"Enter an illuminance factor","OK")</f>
        <v>OK</v>
      </c>
      <c r="DE35" s="132" t="str">
        <f t="shared" si="68"/>
        <v>OK</v>
      </c>
      <c r="DF35" s="267" t="str">
        <f t="shared" si="45"/>
        <v>OK</v>
      </c>
      <c r="DG35" s="267" t="str">
        <f t="shared" si="46"/>
        <v>OK</v>
      </c>
      <c r="DH35" s="267" t="str">
        <f t="shared" si="47"/>
        <v>OK</v>
      </c>
      <c r="DI35" s="143" t="str">
        <f t="shared" si="48"/>
        <v>OK</v>
      </c>
      <c r="DJ35" s="134">
        <f t="shared" ca="1" si="49"/>
        <v>0</v>
      </c>
      <c r="DK35" s="133" t="str">
        <f t="shared" si="50"/>
        <v>OK</v>
      </c>
    </row>
    <row r="36" spans="1:115" ht="18" customHeight="1" x14ac:dyDescent="0.5">
      <c r="A36" s="197"/>
      <c r="B36" s="416">
        <f t="shared" si="0"/>
        <v>10</v>
      </c>
      <c r="C36" s="342">
        <v>9</v>
      </c>
      <c r="D36" s="420" t="s">
        <v>176</v>
      </c>
      <c r="E36" s="421" t="s">
        <v>176</v>
      </c>
      <c r="F36" s="422">
        <v>5</v>
      </c>
      <c r="G36" s="423">
        <v>75</v>
      </c>
      <c r="H36" s="530" t="s">
        <v>408</v>
      </c>
      <c r="I36" s="530"/>
      <c r="J36" s="424"/>
      <c r="K36" s="428"/>
      <c r="L36" s="428"/>
      <c r="M36" s="429"/>
      <c r="N36" s="418">
        <f t="shared" si="1"/>
        <v>3</v>
      </c>
      <c r="O36" s="418" t="str">
        <f t="shared" si="51"/>
        <v/>
      </c>
      <c r="P36" s="419" t="e">
        <f t="shared" ca="1" si="2"/>
        <v>#VALUE!</v>
      </c>
      <c r="Q36" s="343"/>
      <c r="R36" s="67" t="str">
        <f t="shared" si="3"/>
        <v/>
      </c>
      <c r="S36" s="20" t="b">
        <f t="shared" si="4"/>
        <v>0</v>
      </c>
      <c r="T36" s="19" t="str">
        <f t="shared" si="52"/>
        <v/>
      </c>
      <c r="U36" s="19">
        <f t="shared" si="5"/>
        <v>3</v>
      </c>
      <c r="V36" s="179">
        <f t="shared" si="6"/>
        <v>0</v>
      </c>
      <c r="W36" s="180">
        <f t="shared" si="53"/>
        <v>0</v>
      </c>
      <c r="X36" s="180">
        <f t="shared" si="54"/>
        <v>0</v>
      </c>
      <c r="Y36" s="180">
        <f t="shared" si="7"/>
        <v>0</v>
      </c>
      <c r="Z36" s="181">
        <f t="shared" si="55"/>
        <v>0</v>
      </c>
      <c r="AA36" s="179">
        <f t="shared" si="8"/>
        <v>0</v>
      </c>
      <c r="AB36" s="180">
        <f t="shared" si="56"/>
        <v>0</v>
      </c>
      <c r="AC36" s="180">
        <f t="shared" si="57"/>
        <v>0</v>
      </c>
      <c r="AD36" s="180">
        <f t="shared" si="58"/>
        <v>0</v>
      </c>
      <c r="AE36" s="181">
        <f t="shared" si="59"/>
        <v>0</v>
      </c>
      <c r="AF36" s="179">
        <f t="shared" si="9"/>
        <v>5</v>
      </c>
      <c r="AG36" s="180">
        <f t="shared" si="60"/>
        <v>75</v>
      </c>
      <c r="AH36" s="180">
        <f t="shared" si="61"/>
        <v>3</v>
      </c>
      <c r="AI36" s="180">
        <f t="shared" si="62"/>
        <v>15</v>
      </c>
      <c r="AJ36" s="181" t="str">
        <f t="shared" si="63"/>
        <v/>
      </c>
      <c r="AK36" s="184" t="b">
        <f t="shared" si="10"/>
        <v>1</v>
      </c>
      <c r="AL36" s="265" t="b">
        <f t="shared" si="11"/>
        <v>1</v>
      </c>
      <c r="AM36" s="21" t="b">
        <f t="shared" si="12"/>
        <v>0</v>
      </c>
      <c r="AN36" s="21" t="b">
        <f t="shared" si="13"/>
        <v>1</v>
      </c>
      <c r="AO36" s="186" t="b">
        <f>IF(OR(COUNTBLANK(D36:I36)=6,AND(COUNTBLANK(D36:G36)=4,H36=0)),OR(AN37:AN$67),NOT(AN36))</f>
        <v>0</v>
      </c>
      <c r="AP36" s="21" t="b">
        <f t="shared" si="14"/>
        <v>0</v>
      </c>
      <c r="AQ36" s="21" t="b">
        <f t="shared" si="64"/>
        <v>1</v>
      </c>
      <c r="AR36" s="22">
        <f t="shared" si="15"/>
        <v>75</v>
      </c>
      <c r="AS36" s="22">
        <f t="shared" si="16"/>
        <v>3</v>
      </c>
      <c r="AT36" s="199">
        <f t="shared" si="65"/>
        <v>3</v>
      </c>
      <c r="AU36" s="200" t="str">
        <f t="shared" si="17"/>
        <v/>
      </c>
      <c r="AV36" s="68" t="str">
        <f t="shared" si="18"/>
        <v/>
      </c>
      <c r="AW36" s="169"/>
      <c r="AX36" s="68" t="str">
        <f t="shared" si="66"/>
        <v/>
      </c>
      <c r="AY36" s="476"/>
      <c r="AZ36" s="476"/>
      <c r="BA36" s="189" t="e">
        <f t="shared" ca="1" si="19"/>
        <v>#VALUE!</v>
      </c>
      <c r="BB36" s="190" t="e">
        <f t="shared" ca="1" si="20"/>
        <v>#VALUE!</v>
      </c>
      <c r="BC36" s="191" t="e">
        <f t="shared" ca="1" si="21"/>
        <v>#VALUE!</v>
      </c>
      <c r="BD36" s="189" t="e">
        <f t="shared" ca="1" si="22"/>
        <v>#VALUE!</v>
      </c>
      <c r="BE36" s="189" t="e">
        <f t="shared" ca="1" si="23"/>
        <v>#VALUE!</v>
      </c>
      <c r="BF36" s="190" t="e">
        <f t="shared" ca="1" si="24"/>
        <v>#VALUE!</v>
      </c>
      <c r="BG36" s="191" t="b">
        <f t="shared" ca="1" si="25"/>
        <v>0</v>
      </c>
      <c r="BH36" s="189" t="b">
        <f t="shared" ca="1" si="26"/>
        <v>0</v>
      </c>
      <c r="BI36" s="190" t="b">
        <f t="shared" ca="1" si="67"/>
        <v>0</v>
      </c>
      <c r="BJ36" s="192" t="e">
        <f t="shared" si="27"/>
        <v>#VALUE!</v>
      </c>
      <c r="BK36" s="193" t="e">
        <f t="shared" ca="1" si="28"/>
        <v>#VALUE!</v>
      </c>
      <c r="BL36" s="176" t="e">
        <f t="shared" ca="1" si="29"/>
        <v>#VALUE!</v>
      </c>
      <c r="BN36" s="142">
        <f t="shared" ca="1" si="30"/>
        <v>3</v>
      </c>
      <c r="BP36" s="51">
        <v>9</v>
      </c>
      <c r="BQ36" s="51">
        <f t="shared" si="31"/>
        <v>10</v>
      </c>
      <c r="BS36"/>
      <c r="BT36" s="75"/>
      <c r="BU36" s="74"/>
      <c r="BV36" s="59"/>
      <c r="BW36" s="280"/>
      <c r="BX36" s="276"/>
      <c r="BY36" s="417">
        <f t="shared" si="32"/>
        <v>9</v>
      </c>
      <c r="BZ36" s="344" t="str">
        <f t="shared" si="33"/>
        <v>Toilet</v>
      </c>
      <c r="CA36" s="344" t="str">
        <f t="shared" si="34"/>
        <v>Class 10a building</v>
      </c>
      <c r="CB36" s="345">
        <f t="shared" si="35"/>
        <v>3</v>
      </c>
      <c r="CC36" s="346" t="str">
        <f>IF(AQ36,IF(ISNUMBER(#REF!),MAX('Adjustment factors'!$S$16,0.2+0.8*#REF!),IF(ISTEXT(J36),VLOOKUP(J36,Afactors,2,FALSE),"")),"")</f>
        <v/>
      </c>
      <c r="CD36" s="347">
        <f t="shared" si="36"/>
        <v>3</v>
      </c>
      <c r="CE36" s="348"/>
      <c r="CF36" s="348"/>
      <c r="CG36" s="280"/>
      <c r="CH36" s="280"/>
      <c r="CI36" s="276"/>
      <c r="CJ36" s="276"/>
      <c r="CK36" s="276"/>
      <c r="CL36" s="276"/>
      <c r="CM36" s="276"/>
      <c r="CN36" s="276"/>
      <c r="CO36" s="276"/>
      <c r="CP36" s="276"/>
      <c r="CQ36" s="276"/>
      <c r="CR36" s="276"/>
      <c r="CS36" s="276"/>
      <c r="CU36" s="142" t="str">
        <f t="shared" si="37"/>
        <v>OK</v>
      </c>
      <c r="CV36" s="142" t="str">
        <f t="shared" si="38"/>
        <v>OK</v>
      </c>
      <c r="CW36" s="142" t="str">
        <f t="shared" si="39"/>
        <v>OK</v>
      </c>
      <c r="CX36" s="142" t="str">
        <f t="shared" si="40"/>
        <v>OK</v>
      </c>
      <c r="CY36" s="143" t="str">
        <f t="shared" si="41"/>
        <v>OK</v>
      </c>
      <c r="CZ36" s="132" t="str">
        <f t="shared" si="42"/>
        <v>OK</v>
      </c>
      <c r="DA36" s="132" t="str">
        <f t="shared" si="43"/>
        <v>OK</v>
      </c>
      <c r="DB36" s="132" t="str">
        <f t="shared" si="44"/>
        <v>OK</v>
      </c>
      <c r="DC36" s="132" t="str">
        <f>IF(AND(ISNUMBER(#REF!),J36&lt;&gt;FixedDim),"Select fixed dimming with an illuminance factor","OK")</f>
        <v>OK</v>
      </c>
      <c r="DD36" s="132" t="str">
        <f>IF(AND(NOT(ISNUMBER(#REF!)),J36=FixedDim),"Enter an illuminance factor","OK")</f>
        <v>OK</v>
      </c>
      <c r="DE36" s="132" t="str">
        <f t="shared" si="68"/>
        <v>OK</v>
      </c>
      <c r="DF36" s="267" t="str">
        <f t="shared" si="45"/>
        <v>OK</v>
      </c>
      <c r="DG36" s="267" t="str">
        <f t="shared" si="46"/>
        <v>OK</v>
      </c>
      <c r="DH36" s="267" t="str">
        <f t="shared" si="47"/>
        <v>OK</v>
      </c>
      <c r="DI36" s="143" t="str">
        <f t="shared" si="48"/>
        <v>OK</v>
      </c>
      <c r="DJ36" s="134">
        <f t="shared" ca="1" si="49"/>
        <v>0</v>
      </c>
      <c r="DK36" s="133" t="str">
        <f t="shared" si="50"/>
        <v>OK</v>
      </c>
    </row>
    <row r="37" spans="1:115" ht="18" customHeight="1" x14ac:dyDescent="0.5">
      <c r="A37" s="197"/>
      <c r="B37" s="416">
        <f t="shared" si="0"/>
        <v>10</v>
      </c>
      <c r="C37" s="342">
        <v>10</v>
      </c>
      <c r="D37" s="420" t="s">
        <v>175</v>
      </c>
      <c r="E37" s="421" t="s">
        <v>175</v>
      </c>
      <c r="F37" s="422">
        <v>10</v>
      </c>
      <c r="G37" s="423">
        <v>75</v>
      </c>
      <c r="H37" s="530" t="s">
        <v>408</v>
      </c>
      <c r="I37" s="530"/>
      <c r="J37" s="424"/>
      <c r="K37" s="428"/>
      <c r="L37" s="428"/>
      <c r="M37" s="429"/>
      <c r="N37" s="418">
        <f t="shared" si="1"/>
        <v>3</v>
      </c>
      <c r="O37" s="418" t="str">
        <f t="shared" si="51"/>
        <v/>
      </c>
      <c r="P37" s="419" t="e">
        <f t="shared" ca="1" si="2"/>
        <v>#VALUE!</v>
      </c>
      <c r="Q37" s="343"/>
      <c r="R37" s="67" t="str">
        <f t="shared" si="3"/>
        <v/>
      </c>
      <c r="S37" s="20" t="b">
        <f t="shared" si="4"/>
        <v>0</v>
      </c>
      <c r="T37" s="19" t="str">
        <f t="shared" si="52"/>
        <v/>
      </c>
      <c r="U37" s="19">
        <f t="shared" si="5"/>
        <v>3</v>
      </c>
      <c r="V37" s="179">
        <f t="shared" si="6"/>
        <v>0</v>
      </c>
      <c r="W37" s="180">
        <f t="shared" si="53"/>
        <v>0</v>
      </c>
      <c r="X37" s="180">
        <f t="shared" si="54"/>
        <v>0</v>
      </c>
      <c r="Y37" s="180">
        <f t="shared" si="7"/>
        <v>0</v>
      </c>
      <c r="Z37" s="181">
        <f t="shared" si="55"/>
        <v>0</v>
      </c>
      <c r="AA37" s="179">
        <f t="shared" si="8"/>
        <v>0</v>
      </c>
      <c r="AB37" s="180">
        <f t="shared" si="56"/>
        <v>0</v>
      </c>
      <c r="AC37" s="180">
        <f t="shared" si="57"/>
        <v>0</v>
      </c>
      <c r="AD37" s="180">
        <f t="shared" si="58"/>
        <v>0</v>
      </c>
      <c r="AE37" s="181">
        <f t="shared" si="59"/>
        <v>0</v>
      </c>
      <c r="AF37" s="179">
        <f t="shared" si="9"/>
        <v>10</v>
      </c>
      <c r="AG37" s="180">
        <f t="shared" si="60"/>
        <v>75</v>
      </c>
      <c r="AH37" s="180">
        <f t="shared" si="61"/>
        <v>3</v>
      </c>
      <c r="AI37" s="180">
        <f t="shared" si="62"/>
        <v>30</v>
      </c>
      <c r="AJ37" s="181" t="str">
        <f t="shared" si="63"/>
        <v/>
      </c>
      <c r="AK37" s="184" t="b">
        <f t="shared" si="10"/>
        <v>1</v>
      </c>
      <c r="AL37" s="265" t="b">
        <f t="shared" si="11"/>
        <v>1</v>
      </c>
      <c r="AM37" s="21" t="b">
        <f t="shared" si="12"/>
        <v>0</v>
      </c>
      <c r="AN37" s="21" t="b">
        <f t="shared" si="13"/>
        <v>1</v>
      </c>
      <c r="AO37" s="186" t="b">
        <f>IF(OR(COUNTBLANK(D37:I37)=6,AND(COUNTBLANK(D37:G37)=4,H37=0)),OR(AN38:AN$67),NOT(AN37))</f>
        <v>0</v>
      </c>
      <c r="AP37" s="21" t="b">
        <f t="shared" si="14"/>
        <v>0</v>
      </c>
      <c r="AQ37" s="21" t="b">
        <f t="shared" si="64"/>
        <v>1</v>
      </c>
      <c r="AR37" s="22">
        <f t="shared" si="15"/>
        <v>75</v>
      </c>
      <c r="AS37" s="22">
        <f t="shared" si="16"/>
        <v>3</v>
      </c>
      <c r="AT37" s="199">
        <f t="shared" si="65"/>
        <v>3</v>
      </c>
      <c r="AU37" s="200" t="str">
        <f t="shared" si="17"/>
        <v/>
      </c>
      <c r="AV37" s="68" t="str">
        <f t="shared" si="18"/>
        <v/>
      </c>
      <c r="AW37" s="169"/>
      <c r="AX37" s="68" t="str">
        <f t="shared" si="66"/>
        <v/>
      </c>
      <c r="AY37" s="476"/>
      <c r="AZ37" s="476"/>
      <c r="BA37" s="189" t="e">
        <f t="shared" ca="1" si="19"/>
        <v>#VALUE!</v>
      </c>
      <c r="BB37" s="190" t="e">
        <f t="shared" ca="1" si="20"/>
        <v>#VALUE!</v>
      </c>
      <c r="BC37" s="191" t="e">
        <f t="shared" ca="1" si="21"/>
        <v>#VALUE!</v>
      </c>
      <c r="BD37" s="189" t="e">
        <f t="shared" ca="1" si="22"/>
        <v>#VALUE!</v>
      </c>
      <c r="BE37" s="189" t="e">
        <f t="shared" ca="1" si="23"/>
        <v>#VALUE!</v>
      </c>
      <c r="BF37" s="190" t="e">
        <f t="shared" ca="1" si="24"/>
        <v>#VALUE!</v>
      </c>
      <c r="BG37" s="191" t="b">
        <f t="shared" ca="1" si="25"/>
        <v>0</v>
      </c>
      <c r="BH37" s="189" t="b">
        <f t="shared" ca="1" si="26"/>
        <v>0</v>
      </c>
      <c r="BI37" s="190" t="b">
        <f t="shared" ca="1" si="67"/>
        <v>0</v>
      </c>
      <c r="BJ37" s="192" t="e">
        <f t="shared" si="27"/>
        <v>#VALUE!</v>
      </c>
      <c r="BK37" s="193" t="e">
        <f t="shared" ca="1" si="28"/>
        <v>#VALUE!</v>
      </c>
      <c r="BL37" s="176" t="e">
        <f t="shared" ca="1" si="29"/>
        <v>#VALUE!</v>
      </c>
      <c r="BN37" s="142">
        <f t="shared" ca="1" si="30"/>
        <v>3</v>
      </c>
      <c r="BP37" s="51">
        <v>10</v>
      </c>
      <c r="BQ37" s="51">
        <f t="shared" si="31"/>
        <v>10</v>
      </c>
      <c r="BS37"/>
      <c r="BT37" s="75"/>
      <c r="BU37" s="73"/>
      <c r="BV37" s="59"/>
      <c r="BW37" s="280"/>
      <c r="BX37" s="276"/>
      <c r="BY37" s="417">
        <f t="shared" si="32"/>
        <v>10</v>
      </c>
      <c r="BZ37" s="344" t="str">
        <f t="shared" si="33"/>
        <v>Kitchen</v>
      </c>
      <c r="CA37" s="344" t="str">
        <f t="shared" si="34"/>
        <v>Class 10a building</v>
      </c>
      <c r="CB37" s="345">
        <f t="shared" si="35"/>
        <v>3</v>
      </c>
      <c r="CC37" s="346" t="str">
        <f>IF(AQ37,IF(ISNUMBER(#REF!),MAX('Adjustment factors'!$S$16,0.2+0.8*#REF!),IF(ISTEXT(J37),VLOOKUP(J37,Afactors,2,FALSE),"")),"")</f>
        <v/>
      </c>
      <c r="CD37" s="347">
        <f t="shared" si="36"/>
        <v>3</v>
      </c>
      <c r="CE37" s="348"/>
      <c r="CF37" s="348"/>
      <c r="CG37" s="280"/>
      <c r="CH37" s="280"/>
      <c r="CI37" s="276"/>
      <c r="CJ37" s="276"/>
      <c r="CK37" s="276"/>
      <c r="CL37" s="276"/>
      <c r="CM37" s="276"/>
      <c r="CN37" s="276"/>
      <c r="CO37" s="276"/>
      <c r="CP37" s="276"/>
      <c r="CQ37" s="276"/>
      <c r="CR37" s="276"/>
      <c r="CS37" s="276"/>
      <c r="CU37" s="142" t="str">
        <f t="shared" si="37"/>
        <v>OK</v>
      </c>
      <c r="CV37" s="142" t="str">
        <f t="shared" si="38"/>
        <v>OK</v>
      </c>
      <c r="CW37" s="142" t="str">
        <f t="shared" si="39"/>
        <v>OK</v>
      </c>
      <c r="CX37" s="142" t="str">
        <f t="shared" si="40"/>
        <v>OK</v>
      </c>
      <c r="CY37" s="143" t="str">
        <f t="shared" si="41"/>
        <v>OK</v>
      </c>
      <c r="CZ37" s="132" t="str">
        <f t="shared" si="42"/>
        <v>OK</v>
      </c>
      <c r="DA37" s="132" t="str">
        <f t="shared" si="43"/>
        <v>OK</v>
      </c>
      <c r="DB37" s="132" t="str">
        <f t="shared" si="44"/>
        <v>OK</v>
      </c>
      <c r="DC37" s="132" t="str">
        <f>IF(AND(ISNUMBER(#REF!),J37&lt;&gt;FixedDim),"Select fixed dimming with an illuminance factor","OK")</f>
        <v>OK</v>
      </c>
      <c r="DD37" s="132" t="str">
        <f>IF(AND(NOT(ISNUMBER(#REF!)),J37=FixedDim),"Enter an illuminance factor","OK")</f>
        <v>OK</v>
      </c>
      <c r="DE37" s="132" t="str">
        <f t="shared" si="68"/>
        <v>OK</v>
      </c>
      <c r="DF37" s="267" t="str">
        <f t="shared" si="45"/>
        <v>OK</v>
      </c>
      <c r="DG37" s="267" t="str">
        <f t="shared" si="46"/>
        <v>OK</v>
      </c>
      <c r="DH37" s="267" t="str">
        <f t="shared" si="47"/>
        <v>OK</v>
      </c>
      <c r="DI37" s="143" t="str">
        <f t="shared" si="48"/>
        <v>OK</v>
      </c>
      <c r="DJ37" s="134">
        <f t="shared" ca="1" si="49"/>
        <v>0</v>
      </c>
      <c r="DK37" s="133" t="str">
        <f t="shared" si="50"/>
        <v>OK</v>
      </c>
    </row>
    <row r="38" spans="1:115" ht="17.649999999999999" hidden="1" x14ac:dyDescent="0.5">
      <c r="A38" s="197"/>
      <c r="B38" s="416" t="str">
        <f t="shared" si="0"/>
        <v>-</v>
      </c>
      <c r="C38" s="342">
        <v>11</v>
      </c>
      <c r="D38" s="420"/>
      <c r="E38" s="421"/>
      <c r="F38" s="422"/>
      <c r="G38" s="423"/>
      <c r="H38" s="530"/>
      <c r="I38" s="530"/>
      <c r="J38" s="424"/>
      <c r="K38" s="428"/>
      <c r="L38" s="428"/>
      <c r="M38" s="429"/>
      <c r="N38" s="418" t="str">
        <f t="shared" si="1"/>
        <v/>
      </c>
      <c r="O38" s="418" t="str">
        <f t="shared" si="51"/>
        <v/>
      </c>
      <c r="P38" s="419" t="str">
        <f t="shared" si="2"/>
        <v/>
      </c>
      <c r="Q38" s="343"/>
      <c r="R38" s="67" t="str">
        <f t="shared" si="3"/>
        <v/>
      </c>
      <c r="S38" s="20" t="b">
        <f t="shared" si="4"/>
        <v>0</v>
      </c>
      <c r="T38" s="19" t="str">
        <f t="shared" si="52"/>
        <v/>
      </c>
      <c r="U38" s="19" t="str">
        <f t="shared" si="5"/>
        <v/>
      </c>
      <c r="V38" s="179">
        <f t="shared" si="6"/>
        <v>0</v>
      </c>
      <c r="W38" s="180">
        <f t="shared" si="53"/>
        <v>0</v>
      </c>
      <c r="X38" s="180">
        <f t="shared" si="54"/>
        <v>0</v>
      </c>
      <c r="Y38" s="180">
        <f t="shared" si="7"/>
        <v>0</v>
      </c>
      <c r="Z38" s="181">
        <f t="shared" si="55"/>
        <v>0</v>
      </c>
      <c r="AA38" s="179">
        <f t="shared" si="8"/>
        <v>0</v>
      </c>
      <c r="AB38" s="180">
        <f t="shared" si="56"/>
        <v>0</v>
      </c>
      <c r="AC38" s="180">
        <f t="shared" si="57"/>
        <v>0</v>
      </c>
      <c r="AD38" s="180">
        <f t="shared" si="58"/>
        <v>0</v>
      </c>
      <c r="AE38" s="181">
        <f t="shared" si="59"/>
        <v>0</v>
      </c>
      <c r="AF38" s="179">
        <f t="shared" si="9"/>
        <v>0</v>
      </c>
      <c r="AG38" s="180">
        <f t="shared" si="60"/>
        <v>0</v>
      </c>
      <c r="AH38" s="180">
        <f t="shared" si="61"/>
        <v>0</v>
      </c>
      <c r="AI38" s="180">
        <f t="shared" si="62"/>
        <v>0</v>
      </c>
      <c r="AJ38" s="181">
        <f t="shared" si="63"/>
        <v>0</v>
      </c>
      <c r="AK38" s="184" t="b">
        <f t="shared" si="10"/>
        <v>1</v>
      </c>
      <c r="AL38" s="265" t="b">
        <f t="shared" si="11"/>
        <v>1</v>
      </c>
      <c r="AM38" s="21" t="str">
        <f t="shared" si="12"/>
        <v/>
      </c>
      <c r="AN38" s="21" t="b">
        <f t="shared" si="13"/>
        <v>0</v>
      </c>
      <c r="AO38" s="186" t="b">
        <f>IF(OR(COUNTBLANK(D38:I38)=6,AND(COUNTBLANK(D38:G38)=4,H38=0)),OR(AN39:AN$67),NOT(AN38))</f>
        <v>0</v>
      </c>
      <c r="AP38" s="21" t="b">
        <f t="shared" si="14"/>
        <v>1</v>
      </c>
      <c r="AQ38" s="21" t="b">
        <f t="shared" si="64"/>
        <v>1</v>
      </c>
      <c r="AR38" s="22">
        <f t="shared" si="15"/>
        <v>0</v>
      </c>
      <c r="AS38" s="22" t="str">
        <f t="shared" si="16"/>
        <v/>
      </c>
      <c r="AT38" s="199" t="str">
        <f t="shared" si="65"/>
        <v/>
      </c>
      <c r="AU38" s="200" t="str">
        <f t="shared" si="17"/>
        <v/>
      </c>
      <c r="AV38" s="68" t="str">
        <f t="shared" si="18"/>
        <v/>
      </c>
      <c r="AW38" s="169"/>
      <c r="AX38" s="68" t="str">
        <f t="shared" si="66"/>
        <v/>
      </c>
      <c r="AY38" s="476"/>
      <c r="AZ38" s="476"/>
      <c r="BA38" s="189" t="b">
        <f t="shared" ca="1" si="19"/>
        <v>0</v>
      </c>
      <c r="BB38" s="190" t="b">
        <f t="shared" ca="1" si="20"/>
        <v>0</v>
      </c>
      <c r="BC38" s="191" t="b">
        <f t="shared" ca="1" si="21"/>
        <v>0</v>
      </c>
      <c r="BD38" s="189" t="b">
        <f t="shared" ca="1" si="22"/>
        <v>0</v>
      </c>
      <c r="BE38" s="189" t="b">
        <f t="shared" ca="1" si="23"/>
        <v>0</v>
      </c>
      <c r="BF38" s="190" t="b">
        <f t="shared" ca="1" si="24"/>
        <v>0</v>
      </c>
      <c r="BG38" s="191" t="b">
        <f t="shared" ca="1" si="25"/>
        <v>0</v>
      </c>
      <c r="BH38" s="189" t="b">
        <f t="shared" ca="1" si="26"/>
        <v>0</v>
      </c>
      <c r="BI38" s="190" t="b">
        <f t="shared" si="67"/>
        <v>0</v>
      </c>
      <c r="BJ38" s="192" t="b">
        <f t="shared" si="27"/>
        <v>0</v>
      </c>
      <c r="BK38" s="193" t="b">
        <f t="shared" si="28"/>
        <v>0</v>
      </c>
      <c r="BL38" s="176" t="str">
        <f t="shared" si="29"/>
        <v/>
      </c>
      <c r="BN38" s="142" t="str">
        <f t="shared" si="30"/>
        <v>no data</v>
      </c>
      <c r="BP38" s="51">
        <v>11</v>
      </c>
      <c r="BQ38" s="51" t="str">
        <f t="shared" si="31"/>
        <v>-</v>
      </c>
      <c r="BS38"/>
      <c r="BU38" s="73"/>
      <c r="BV38" s="59"/>
      <c r="BW38" s="280"/>
      <c r="BX38" s="276"/>
      <c r="BY38" s="417">
        <f t="shared" si="32"/>
        <v>11</v>
      </c>
      <c r="BZ38" s="344">
        <f t="shared" si="33"/>
        <v>0</v>
      </c>
      <c r="CA38" s="344">
        <f t="shared" si="34"/>
        <v>0</v>
      </c>
      <c r="CB38" s="345" t="str">
        <f t="shared" si="35"/>
        <v/>
      </c>
      <c r="CC38" s="346" t="str">
        <f>IF(AQ38,IF(ISNUMBER(#REF!),MAX('Adjustment factors'!$S$16,0.2+0.8*#REF!),IF(ISTEXT(J38),VLOOKUP(J38,Afactors,2,FALSE),"")),"")</f>
        <v/>
      </c>
      <c r="CD38" s="347" t="str">
        <f t="shared" si="36"/>
        <v/>
      </c>
      <c r="CE38" s="280"/>
      <c r="CF38" s="280"/>
      <c r="CG38" s="280"/>
      <c r="CH38" s="280"/>
      <c r="CI38" s="276"/>
      <c r="CJ38" s="276"/>
      <c r="CK38" s="276"/>
      <c r="CL38" s="276"/>
      <c r="CM38" s="276"/>
      <c r="CN38" s="276"/>
      <c r="CO38" s="276"/>
      <c r="CP38" s="276"/>
      <c r="CQ38" s="276"/>
      <c r="CR38" s="276"/>
      <c r="CS38" s="276"/>
      <c r="CU38" s="142" t="str">
        <f t="shared" si="37"/>
        <v>OK</v>
      </c>
      <c r="CV38" s="142" t="str">
        <f t="shared" si="38"/>
        <v>OK</v>
      </c>
      <c r="CW38" s="142" t="str">
        <f t="shared" si="39"/>
        <v>OK</v>
      </c>
      <c r="CX38" s="142" t="str">
        <f t="shared" si="40"/>
        <v>OK</v>
      </c>
      <c r="CY38" s="143" t="str">
        <f t="shared" si="41"/>
        <v>OK</v>
      </c>
      <c r="CZ38" s="132" t="str">
        <f t="shared" si="42"/>
        <v>OK</v>
      </c>
      <c r="DA38" s="132" t="str">
        <f t="shared" si="43"/>
        <v>OK</v>
      </c>
      <c r="DB38" s="132" t="str">
        <f t="shared" si="44"/>
        <v>OK</v>
      </c>
      <c r="DC38" s="132" t="str">
        <f>IF(AND(ISNUMBER(#REF!),J38&lt;&gt;FixedDim),"Select fixed dimming with an illuminance factor","OK")</f>
        <v>OK</v>
      </c>
      <c r="DD38" s="132" t="str">
        <f>IF(AND(NOT(ISNUMBER(#REF!)),J38=FixedDim),"Enter an illuminance factor","OK")</f>
        <v>OK</v>
      </c>
      <c r="DE38" s="132" t="str">
        <f t="shared" si="68"/>
        <v>OK</v>
      </c>
      <c r="DF38" s="267" t="str">
        <f t="shared" si="45"/>
        <v>OK</v>
      </c>
      <c r="DG38" s="267" t="str">
        <f t="shared" si="46"/>
        <v>OK</v>
      </c>
      <c r="DH38" s="267" t="str">
        <f t="shared" si="47"/>
        <v>OK</v>
      </c>
      <c r="DI38" s="143" t="str">
        <f t="shared" si="48"/>
        <v>OK</v>
      </c>
      <c r="DJ38" s="134">
        <f t="shared" si="49"/>
        <v>0</v>
      </c>
      <c r="DK38" s="133" t="str">
        <f t="shared" si="50"/>
        <v>OK</v>
      </c>
    </row>
    <row r="39" spans="1:115" ht="17.649999999999999" hidden="1" x14ac:dyDescent="0.5">
      <c r="A39" s="197"/>
      <c r="B39" s="416" t="str">
        <f t="shared" si="0"/>
        <v>-</v>
      </c>
      <c r="C39" s="342">
        <v>12</v>
      </c>
      <c r="D39" s="420"/>
      <c r="E39" s="421"/>
      <c r="F39" s="422"/>
      <c r="G39" s="423"/>
      <c r="H39" s="530"/>
      <c r="I39" s="530"/>
      <c r="J39" s="424"/>
      <c r="K39" s="428"/>
      <c r="L39" s="428"/>
      <c r="M39" s="429"/>
      <c r="N39" s="418" t="str">
        <f t="shared" si="1"/>
        <v/>
      </c>
      <c r="O39" s="418" t="str">
        <f t="shared" si="51"/>
        <v/>
      </c>
      <c r="P39" s="419" t="str">
        <f t="shared" si="2"/>
        <v/>
      </c>
      <c r="Q39" s="343"/>
      <c r="R39" s="67" t="str">
        <f t="shared" si="3"/>
        <v/>
      </c>
      <c r="S39" s="20" t="b">
        <f t="shared" si="4"/>
        <v>0</v>
      </c>
      <c r="T39" s="19" t="str">
        <f t="shared" si="52"/>
        <v/>
      </c>
      <c r="U39" s="19" t="str">
        <f t="shared" si="5"/>
        <v/>
      </c>
      <c r="V39" s="179">
        <f t="shared" si="6"/>
        <v>0</v>
      </c>
      <c r="W39" s="180">
        <f t="shared" si="53"/>
        <v>0</v>
      </c>
      <c r="X39" s="180">
        <f t="shared" si="54"/>
        <v>0</v>
      </c>
      <c r="Y39" s="180">
        <f t="shared" si="7"/>
        <v>0</v>
      </c>
      <c r="Z39" s="181">
        <f t="shared" si="55"/>
        <v>0</v>
      </c>
      <c r="AA39" s="179">
        <f t="shared" si="8"/>
        <v>0</v>
      </c>
      <c r="AB39" s="180">
        <f t="shared" si="56"/>
        <v>0</v>
      </c>
      <c r="AC39" s="180">
        <f t="shared" si="57"/>
        <v>0</v>
      </c>
      <c r="AD39" s="180">
        <f t="shared" si="58"/>
        <v>0</v>
      </c>
      <c r="AE39" s="181">
        <f t="shared" si="59"/>
        <v>0</v>
      </c>
      <c r="AF39" s="179">
        <f t="shared" si="9"/>
        <v>0</v>
      </c>
      <c r="AG39" s="180">
        <f t="shared" si="60"/>
        <v>0</v>
      </c>
      <c r="AH39" s="180">
        <f t="shared" si="61"/>
        <v>0</v>
      </c>
      <c r="AI39" s="180">
        <f t="shared" si="62"/>
        <v>0</v>
      </c>
      <c r="AJ39" s="181">
        <f t="shared" si="63"/>
        <v>0</v>
      </c>
      <c r="AK39" s="184" t="b">
        <f t="shared" si="10"/>
        <v>1</v>
      </c>
      <c r="AL39" s="265" t="b">
        <f t="shared" si="11"/>
        <v>1</v>
      </c>
      <c r="AM39" s="21" t="str">
        <f t="shared" si="12"/>
        <v/>
      </c>
      <c r="AN39" s="21" t="b">
        <f t="shared" si="13"/>
        <v>0</v>
      </c>
      <c r="AO39" s="186" t="b">
        <f>IF(OR(COUNTBLANK(D39:I39)=6,AND(COUNTBLANK(D39:G39)=4,H39=0)),OR(AN40:AN$67),NOT(AN39))</f>
        <v>0</v>
      </c>
      <c r="AP39" s="21" t="b">
        <f t="shared" si="14"/>
        <v>1</v>
      </c>
      <c r="AQ39" s="21" t="b">
        <f t="shared" si="64"/>
        <v>1</v>
      </c>
      <c r="AR39" s="22">
        <f t="shared" si="15"/>
        <v>0</v>
      </c>
      <c r="AS39" s="22" t="str">
        <f t="shared" si="16"/>
        <v/>
      </c>
      <c r="AT39" s="199" t="str">
        <f t="shared" si="65"/>
        <v/>
      </c>
      <c r="AU39" s="200" t="str">
        <f t="shared" si="17"/>
        <v/>
      </c>
      <c r="AV39" s="68" t="str">
        <f t="shared" si="18"/>
        <v/>
      </c>
      <c r="AW39" s="169"/>
      <c r="AX39" s="68" t="str">
        <f t="shared" si="66"/>
        <v/>
      </c>
      <c r="AY39" s="476"/>
      <c r="AZ39" s="476"/>
      <c r="BA39" s="189" t="b">
        <f t="shared" ca="1" si="19"/>
        <v>0</v>
      </c>
      <c r="BB39" s="190" t="b">
        <f t="shared" ca="1" si="20"/>
        <v>0</v>
      </c>
      <c r="BC39" s="191" t="b">
        <f t="shared" ca="1" si="21"/>
        <v>0</v>
      </c>
      <c r="BD39" s="189" t="b">
        <f t="shared" ca="1" si="22"/>
        <v>0</v>
      </c>
      <c r="BE39" s="189" t="b">
        <f t="shared" ca="1" si="23"/>
        <v>0</v>
      </c>
      <c r="BF39" s="190" t="b">
        <f t="shared" ca="1" si="24"/>
        <v>0</v>
      </c>
      <c r="BG39" s="191" t="b">
        <f t="shared" ca="1" si="25"/>
        <v>0</v>
      </c>
      <c r="BH39" s="189" t="b">
        <f t="shared" ca="1" si="26"/>
        <v>0</v>
      </c>
      <c r="BI39" s="190" t="b">
        <f t="shared" si="67"/>
        <v>0</v>
      </c>
      <c r="BJ39" s="192" t="b">
        <f t="shared" si="27"/>
        <v>0</v>
      </c>
      <c r="BK39" s="193" t="b">
        <f t="shared" si="28"/>
        <v>0</v>
      </c>
      <c r="BL39" s="176" t="str">
        <f t="shared" si="29"/>
        <v/>
      </c>
      <c r="BN39" s="142" t="str">
        <f t="shared" si="30"/>
        <v>no data</v>
      </c>
      <c r="BP39" s="51">
        <v>12</v>
      </c>
      <c r="BQ39" s="51" t="str">
        <f t="shared" si="31"/>
        <v>-</v>
      </c>
      <c r="BS39"/>
      <c r="BU39" s="73"/>
      <c r="BV39" s="27"/>
      <c r="BW39" s="276"/>
      <c r="BX39" s="276"/>
      <c r="BY39" s="417">
        <f t="shared" si="32"/>
        <v>12</v>
      </c>
      <c r="BZ39" s="344">
        <f t="shared" si="33"/>
        <v>0</v>
      </c>
      <c r="CA39" s="344">
        <f t="shared" si="34"/>
        <v>0</v>
      </c>
      <c r="CB39" s="345" t="str">
        <f t="shared" si="35"/>
        <v/>
      </c>
      <c r="CC39" s="346" t="str">
        <f>IF(AQ39,IF(ISNUMBER(#REF!),MAX('Adjustment factors'!$S$16,0.2+0.8*#REF!),IF(ISTEXT(J39),VLOOKUP(J39,Afactors,2,FALSE),"")),"")</f>
        <v/>
      </c>
      <c r="CD39" s="347" t="str">
        <f t="shared" si="36"/>
        <v/>
      </c>
      <c r="CE39" s="280"/>
      <c r="CF39" s="280"/>
      <c r="CG39" s="280"/>
      <c r="CH39" s="280"/>
      <c r="CI39" s="276"/>
      <c r="CJ39" s="276"/>
      <c r="CK39" s="276"/>
      <c r="CL39" s="276"/>
      <c r="CM39" s="276"/>
      <c r="CN39" s="276"/>
      <c r="CO39" s="276"/>
      <c r="CP39" s="276"/>
      <c r="CQ39" s="276"/>
      <c r="CR39" s="276"/>
      <c r="CS39" s="276"/>
      <c r="CU39" s="142" t="str">
        <f t="shared" si="37"/>
        <v>OK</v>
      </c>
      <c r="CV39" s="142" t="str">
        <f t="shared" si="38"/>
        <v>OK</v>
      </c>
      <c r="CW39" s="142" t="str">
        <f t="shared" si="39"/>
        <v>OK</v>
      </c>
      <c r="CX39" s="142" t="str">
        <f t="shared" si="40"/>
        <v>OK</v>
      </c>
      <c r="CY39" s="143" t="str">
        <f t="shared" si="41"/>
        <v>OK</v>
      </c>
      <c r="CZ39" s="132" t="str">
        <f t="shared" si="42"/>
        <v>OK</v>
      </c>
      <c r="DA39" s="132" t="str">
        <f t="shared" si="43"/>
        <v>OK</v>
      </c>
      <c r="DB39" s="132" t="str">
        <f t="shared" si="44"/>
        <v>OK</v>
      </c>
      <c r="DC39" s="132" t="str">
        <f>IF(AND(ISNUMBER(#REF!),J39&lt;&gt;FixedDim),"Select fixed dimming with an illuminance factor","OK")</f>
        <v>OK</v>
      </c>
      <c r="DD39" s="132" t="str">
        <f>IF(AND(NOT(ISNUMBER(#REF!)),J39=FixedDim),"Enter an illuminance factor","OK")</f>
        <v>OK</v>
      </c>
      <c r="DE39" s="132" t="str">
        <f t="shared" si="68"/>
        <v>OK</v>
      </c>
      <c r="DF39" s="267" t="str">
        <f t="shared" si="45"/>
        <v>OK</v>
      </c>
      <c r="DG39" s="267" t="str">
        <f t="shared" si="46"/>
        <v>OK</v>
      </c>
      <c r="DH39" s="267" t="str">
        <f t="shared" si="47"/>
        <v>OK</v>
      </c>
      <c r="DI39" s="143" t="str">
        <f t="shared" si="48"/>
        <v>OK</v>
      </c>
      <c r="DJ39" s="134">
        <f t="shared" si="49"/>
        <v>0</v>
      </c>
      <c r="DK39" s="133" t="str">
        <f t="shared" si="50"/>
        <v>OK</v>
      </c>
    </row>
    <row r="40" spans="1:115" ht="17.649999999999999" hidden="1" x14ac:dyDescent="0.5">
      <c r="A40" s="197"/>
      <c r="B40" s="416" t="str">
        <f t="shared" si="0"/>
        <v>-</v>
      </c>
      <c r="C40" s="342">
        <v>13</v>
      </c>
      <c r="D40" s="420"/>
      <c r="E40" s="421"/>
      <c r="F40" s="422"/>
      <c r="G40" s="423"/>
      <c r="H40" s="530"/>
      <c r="I40" s="530"/>
      <c r="J40" s="424"/>
      <c r="K40" s="428"/>
      <c r="L40" s="428"/>
      <c r="M40" s="429"/>
      <c r="N40" s="418" t="str">
        <f t="shared" si="1"/>
        <v/>
      </c>
      <c r="O40" s="418" t="str">
        <f t="shared" si="51"/>
        <v/>
      </c>
      <c r="P40" s="419" t="str">
        <f t="shared" si="2"/>
        <v/>
      </c>
      <c r="Q40" s="343"/>
      <c r="R40" s="67" t="str">
        <f t="shared" si="3"/>
        <v/>
      </c>
      <c r="S40" s="20" t="b">
        <f t="shared" si="4"/>
        <v>0</v>
      </c>
      <c r="T40" s="19" t="str">
        <f t="shared" si="52"/>
        <v/>
      </c>
      <c r="U40" s="19" t="str">
        <f t="shared" si="5"/>
        <v/>
      </c>
      <c r="V40" s="179">
        <f t="shared" si="6"/>
        <v>0</v>
      </c>
      <c r="W40" s="180">
        <f t="shared" si="53"/>
        <v>0</v>
      </c>
      <c r="X40" s="180">
        <f t="shared" si="54"/>
        <v>0</v>
      </c>
      <c r="Y40" s="180">
        <f t="shared" si="7"/>
        <v>0</v>
      </c>
      <c r="Z40" s="181">
        <f t="shared" si="55"/>
        <v>0</v>
      </c>
      <c r="AA40" s="179">
        <f t="shared" si="8"/>
        <v>0</v>
      </c>
      <c r="AB40" s="180">
        <f t="shared" si="56"/>
        <v>0</v>
      </c>
      <c r="AC40" s="180">
        <f t="shared" si="57"/>
        <v>0</v>
      </c>
      <c r="AD40" s="180">
        <f t="shared" si="58"/>
        <v>0</v>
      </c>
      <c r="AE40" s="181">
        <f t="shared" si="59"/>
        <v>0</v>
      </c>
      <c r="AF40" s="179">
        <f t="shared" si="9"/>
        <v>0</v>
      </c>
      <c r="AG40" s="180">
        <f t="shared" si="60"/>
        <v>0</v>
      </c>
      <c r="AH40" s="180">
        <f t="shared" si="61"/>
        <v>0</v>
      </c>
      <c r="AI40" s="180">
        <f t="shared" si="62"/>
        <v>0</v>
      </c>
      <c r="AJ40" s="181">
        <f t="shared" si="63"/>
        <v>0</v>
      </c>
      <c r="AK40" s="184" t="b">
        <f t="shared" si="10"/>
        <v>1</v>
      </c>
      <c r="AL40" s="265" t="b">
        <f t="shared" si="11"/>
        <v>1</v>
      </c>
      <c r="AM40" s="21" t="str">
        <f t="shared" si="12"/>
        <v/>
      </c>
      <c r="AN40" s="21" t="b">
        <f t="shared" si="13"/>
        <v>0</v>
      </c>
      <c r="AO40" s="186" t="b">
        <f>IF(OR(COUNTBLANK(D40:I40)=6,AND(COUNTBLANK(D40:G40)=4,H40=0)),OR(AN41:AN$67),NOT(AN40))</f>
        <v>0</v>
      </c>
      <c r="AP40" s="21" t="b">
        <f t="shared" si="14"/>
        <v>1</v>
      </c>
      <c r="AQ40" s="21" t="b">
        <f t="shared" si="64"/>
        <v>1</v>
      </c>
      <c r="AR40" s="22">
        <f t="shared" si="15"/>
        <v>0</v>
      </c>
      <c r="AS40" s="22" t="str">
        <f t="shared" si="16"/>
        <v/>
      </c>
      <c r="AT40" s="199" t="str">
        <f t="shared" si="65"/>
        <v/>
      </c>
      <c r="AU40" s="200" t="str">
        <f t="shared" si="17"/>
        <v/>
      </c>
      <c r="AV40" s="68" t="str">
        <f t="shared" si="18"/>
        <v/>
      </c>
      <c r="AW40" s="169"/>
      <c r="AX40" s="68" t="str">
        <f t="shared" si="66"/>
        <v/>
      </c>
      <c r="AY40" s="476"/>
      <c r="AZ40" s="476"/>
      <c r="BA40" s="189" t="b">
        <f t="shared" ca="1" si="19"/>
        <v>0</v>
      </c>
      <c r="BB40" s="190" t="b">
        <f t="shared" ca="1" si="20"/>
        <v>0</v>
      </c>
      <c r="BC40" s="191" t="b">
        <f t="shared" ca="1" si="21"/>
        <v>0</v>
      </c>
      <c r="BD40" s="189" t="b">
        <f t="shared" ca="1" si="22"/>
        <v>0</v>
      </c>
      <c r="BE40" s="189" t="b">
        <f t="shared" ca="1" si="23"/>
        <v>0</v>
      </c>
      <c r="BF40" s="190" t="b">
        <f t="shared" ca="1" si="24"/>
        <v>0</v>
      </c>
      <c r="BG40" s="191" t="b">
        <f t="shared" ca="1" si="25"/>
        <v>0</v>
      </c>
      <c r="BH40" s="189" t="b">
        <f t="shared" ca="1" si="26"/>
        <v>0</v>
      </c>
      <c r="BI40" s="190" t="b">
        <f t="shared" si="67"/>
        <v>0</v>
      </c>
      <c r="BJ40" s="192" t="b">
        <f t="shared" si="27"/>
        <v>0</v>
      </c>
      <c r="BK40" s="193" t="b">
        <f t="shared" si="28"/>
        <v>0</v>
      </c>
      <c r="BL40" s="176" t="str">
        <f t="shared" si="29"/>
        <v/>
      </c>
      <c r="BN40" s="142" t="str">
        <f t="shared" si="30"/>
        <v>no data</v>
      </c>
      <c r="BP40" s="51">
        <v>13</v>
      </c>
      <c r="BQ40" s="51" t="str">
        <f t="shared" si="31"/>
        <v>-</v>
      </c>
      <c r="BS40"/>
      <c r="BU40" s="73"/>
      <c r="BV40" s="27"/>
      <c r="BW40" s="276"/>
      <c r="BX40" s="276"/>
      <c r="BY40" s="417">
        <f t="shared" si="32"/>
        <v>13</v>
      </c>
      <c r="BZ40" s="344">
        <f t="shared" si="33"/>
        <v>0</v>
      </c>
      <c r="CA40" s="344">
        <f t="shared" si="34"/>
        <v>0</v>
      </c>
      <c r="CB40" s="345" t="str">
        <f t="shared" si="35"/>
        <v/>
      </c>
      <c r="CC40" s="346" t="str">
        <f>IF(AQ40,IF(ISNUMBER(#REF!),MAX('Adjustment factors'!$S$16,0.2+0.8*#REF!),IF(ISTEXT(J40),VLOOKUP(J40,Afactors,2,FALSE),"")),"")</f>
        <v/>
      </c>
      <c r="CD40" s="347" t="str">
        <f t="shared" si="36"/>
        <v/>
      </c>
      <c r="CE40" s="280"/>
      <c r="CF40" s="280"/>
      <c r="CG40" s="280"/>
      <c r="CH40" s="280"/>
      <c r="CI40" s="276"/>
      <c r="CJ40" s="276"/>
      <c r="CK40" s="276"/>
      <c r="CL40" s="276"/>
      <c r="CM40" s="276"/>
      <c r="CN40" s="276"/>
      <c r="CO40" s="276"/>
      <c r="CP40" s="276"/>
      <c r="CQ40" s="276"/>
      <c r="CR40" s="276"/>
      <c r="CS40" s="276"/>
      <c r="CU40" s="142" t="str">
        <f t="shared" si="37"/>
        <v>OK</v>
      </c>
      <c r="CV40" s="142" t="str">
        <f t="shared" si="38"/>
        <v>OK</v>
      </c>
      <c r="CW40" s="142" t="str">
        <f t="shared" si="39"/>
        <v>OK</v>
      </c>
      <c r="CX40" s="142" t="str">
        <f t="shared" si="40"/>
        <v>OK</v>
      </c>
      <c r="CY40" s="143" t="str">
        <f t="shared" si="41"/>
        <v>OK</v>
      </c>
      <c r="CZ40" s="132" t="str">
        <f t="shared" si="42"/>
        <v>OK</v>
      </c>
      <c r="DA40" s="132" t="str">
        <f t="shared" si="43"/>
        <v>OK</v>
      </c>
      <c r="DB40" s="132" t="str">
        <f t="shared" si="44"/>
        <v>OK</v>
      </c>
      <c r="DC40" s="132" t="str">
        <f>IF(AND(ISNUMBER(#REF!),J40&lt;&gt;FixedDim),"Select fixed dimming with an illuminance factor","OK")</f>
        <v>OK</v>
      </c>
      <c r="DD40" s="132" t="str">
        <f>IF(AND(NOT(ISNUMBER(#REF!)),J40=FixedDim),"Enter an illuminance factor","OK")</f>
        <v>OK</v>
      </c>
      <c r="DE40" s="132" t="str">
        <f t="shared" si="68"/>
        <v>OK</v>
      </c>
      <c r="DF40" s="267" t="str">
        <f t="shared" si="45"/>
        <v>OK</v>
      </c>
      <c r="DG40" s="267" t="str">
        <f t="shared" si="46"/>
        <v>OK</v>
      </c>
      <c r="DH40" s="267" t="str">
        <f t="shared" si="47"/>
        <v>OK</v>
      </c>
      <c r="DI40" s="143" t="str">
        <f t="shared" si="48"/>
        <v>OK</v>
      </c>
      <c r="DJ40" s="134">
        <f t="shared" si="49"/>
        <v>0</v>
      </c>
      <c r="DK40" s="133" t="str">
        <f t="shared" si="50"/>
        <v>OK</v>
      </c>
    </row>
    <row r="41" spans="1:115" ht="17.649999999999999" hidden="1" x14ac:dyDescent="0.5">
      <c r="A41" s="197"/>
      <c r="B41" s="416" t="str">
        <f t="shared" si="0"/>
        <v>-</v>
      </c>
      <c r="C41" s="342">
        <v>14</v>
      </c>
      <c r="D41" s="420"/>
      <c r="E41" s="421"/>
      <c r="F41" s="422"/>
      <c r="G41" s="423"/>
      <c r="H41" s="530"/>
      <c r="I41" s="530"/>
      <c r="J41" s="424"/>
      <c r="K41" s="428"/>
      <c r="L41" s="428"/>
      <c r="M41" s="429"/>
      <c r="N41" s="418" t="str">
        <f t="shared" si="1"/>
        <v/>
      </c>
      <c r="O41" s="418" t="str">
        <f t="shared" si="51"/>
        <v/>
      </c>
      <c r="P41" s="419" t="str">
        <f t="shared" si="2"/>
        <v/>
      </c>
      <c r="Q41" s="343"/>
      <c r="R41" s="67" t="str">
        <f t="shared" si="3"/>
        <v/>
      </c>
      <c r="S41" s="20" t="b">
        <f t="shared" si="4"/>
        <v>0</v>
      </c>
      <c r="T41" s="19" t="str">
        <f t="shared" si="52"/>
        <v/>
      </c>
      <c r="U41" s="19" t="str">
        <f t="shared" si="5"/>
        <v/>
      </c>
      <c r="V41" s="179">
        <f t="shared" si="6"/>
        <v>0</v>
      </c>
      <c r="W41" s="180">
        <f t="shared" si="53"/>
        <v>0</v>
      </c>
      <c r="X41" s="180">
        <f t="shared" si="54"/>
        <v>0</v>
      </c>
      <c r="Y41" s="180">
        <f t="shared" si="7"/>
        <v>0</v>
      </c>
      <c r="Z41" s="181">
        <f t="shared" si="55"/>
        <v>0</v>
      </c>
      <c r="AA41" s="179">
        <f t="shared" si="8"/>
        <v>0</v>
      </c>
      <c r="AB41" s="180">
        <f t="shared" si="56"/>
        <v>0</v>
      </c>
      <c r="AC41" s="180">
        <f t="shared" si="57"/>
        <v>0</v>
      </c>
      <c r="AD41" s="180">
        <f t="shared" si="58"/>
        <v>0</v>
      </c>
      <c r="AE41" s="181">
        <f t="shared" si="59"/>
        <v>0</v>
      </c>
      <c r="AF41" s="179">
        <f t="shared" si="9"/>
        <v>0</v>
      </c>
      <c r="AG41" s="180">
        <f t="shared" si="60"/>
        <v>0</v>
      </c>
      <c r="AH41" s="180">
        <f t="shared" si="61"/>
        <v>0</v>
      </c>
      <c r="AI41" s="180">
        <f t="shared" si="62"/>
        <v>0</v>
      </c>
      <c r="AJ41" s="181">
        <f t="shared" si="63"/>
        <v>0</v>
      </c>
      <c r="AK41" s="184" t="b">
        <f t="shared" si="10"/>
        <v>1</v>
      </c>
      <c r="AL41" s="265" t="b">
        <f t="shared" si="11"/>
        <v>1</v>
      </c>
      <c r="AM41" s="21" t="str">
        <f t="shared" si="12"/>
        <v/>
      </c>
      <c r="AN41" s="21" t="b">
        <f t="shared" si="13"/>
        <v>0</v>
      </c>
      <c r="AO41" s="186" t="b">
        <f>IF(OR(COUNTBLANK(D41:I41)=6,AND(COUNTBLANK(D41:G41)=4,H41=0)),OR(AN42:AN$67),NOT(AN41))</f>
        <v>0</v>
      </c>
      <c r="AP41" s="21" t="b">
        <f t="shared" si="14"/>
        <v>1</v>
      </c>
      <c r="AQ41" s="21" t="b">
        <f t="shared" si="64"/>
        <v>1</v>
      </c>
      <c r="AR41" s="22">
        <f t="shared" si="15"/>
        <v>0</v>
      </c>
      <c r="AS41" s="22" t="str">
        <f t="shared" si="16"/>
        <v/>
      </c>
      <c r="AT41" s="199" t="str">
        <f t="shared" si="65"/>
        <v/>
      </c>
      <c r="AU41" s="200" t="str">
        <f t="shared" si="17"/>
        <v/>
      </c>
      <c r="AV41" s="68" t="str">
        <f t="shared" si="18"/>
        <v/>
      </c>
      <c r="AW41" s="169"/>
      <c r="AX41" s="68" t="str">
        <f t="shared" si="66"/>
        <v/>
      </c>
      <c r="AY41" s="476"/>
      <c r="AZ41" s="476"/>
      <c r="BA41" s="189" t="b">
        <f t="shared" ca="1" si="19"/>
        <v>0</v>
      </c>
      <c r="BB41" s="190" t="b">
        <f t="shared" ca="1" si="20"/>
        <v>0</v>
      </c>
      <c r="BC41" s="191" t="b">
        <f t="shared" ca="1" si="21"/>
        <v>0</v>
      </c>
      <c r="BD41" s="189" t="b">
        <f t="shared" ca="1" si="22"/>
        <v>0</v>
      </c>
      <c r="BE41" s="189" t="b">
        <f t="shared" ca="1" si="23"/>
        <v>0</v>
      </c>
      <c r="BF41" s="190" t="b">
        <f t="shared" ca="1" si="24"/>
        <v>0</v>
      </c>
      <c r="BG41" s="191" t="b">
        <f t="shared" ca="1" si="25"/>
        <v>0</v>
      </c>
      <c r="BH41" s="189" t="b">
        <f t="shared" ca="1" si="26"/>
        <v>0</v>
      </c>
      <c r="BI41" s="190" t="b">
        <f t="shared" si="67"/>
        <v>0</v>
      </c>
      <c r="BJ41" s="192" t="b">
        <f t="shared" si="27"/>
        <v>0</v>
      </c>
      <c r="BK41" s="193" t="b">
        <f t="shared" si="28"/>
        <v>0</v>
      </c>
      <c r="BL41" s="176" t="str">
        <f t="shared" si="29"/>
        <v/>
      </c>
      <c r="BN41" s="142" t="str">
        <f t="shared" si="30"/>
        <v>no data</v>
      </c>
      <c r="BP41" s="51">
        <v>14</v>
      </c>
      <c r="BQ41" s="51" t="str">
        <f t="shared" si="31"/>
        <v>-</v>
      </c>
      <c r="BS41"/>
      <c r="BU41" s="73"/>
      <c r="BV41" s="27"/>
      <c r="BW41" s="276"/>
      <c r="BX41" s="276"/>
      <c r="BY41" s="417">
        <f t="shared" si="32"/>
        <v>14</v>
      </c>
      <c r="BZ41" s="344">
        <f t="shared" si="33"/>
        <v>0</v>
      </c>
      <c r="CA41" s="344">
        <f t="shared" si="34"/>
        <v>0</v>
      </c>
      <c r="CB41" s="345" t="str">
        <f t="shared" si="35"/>
        <v/>
      </c>
      <c r="CC41" s="346" t="str">
        <f>IF(AQ41,IF(ISNUMBER(#REF!),MAX('Adjustment factors'!$S$16,0.2+0.8*#REF!),IF(ISTEXT(J41),VLOOKUP(J41,Afactors,2,FALSE),"")),"")</f>
        <v/>
      </c>
      <c r="CD41" s="347" t="str">
        <f t="shared" si="36"/>
        <v/>
      </c>
      <c r="CE41" s="280"/>
      <c r="CF41" s="280"/>
      <c r="CG41" s="280"/>
      <c r="CH41" s="280"/>
      <c r="CI41" s="276"/>
      <c r="CJ41" s="276"/>
      <c r="CK41" s="276"/>
      <c r="CL41" s="276"/>
      <c r="CM41" s="276"/>
      <c r="CN41" s="276"/>
      <c r="CO41" s="276"/>
      <c r="CP41" s="276"/>
      <c r="CQ41" s="276"/>
      <c r="CR41" s="276"/>
      <c r="CS41" s="276"/>
      <c r="CU41" s="142" t="str">
        <f t="shared" si="37"/>
        <v>OK</v>
      </c>
      <c r="CV41" s="142" t="str">
        <f t="shared" si="38"/>
        <v>OK</v>
      </c>
      <c r="CW41" s="142" t="str">
        <f t="shared" si="39"/>
        <v>OK</v>
      </c>
      <c r="CX41" s="142" t="str">
        <f t="shared" si="40"/>
        <v>OK</v>
      </c>
      <c r="CY41" s="143" t="str">
        <f t="shared" si="41"/>
        <v>OK</v>
      </c>
      <c r="CZ41" s="132" t="str">
        <f t="shared" si="42"/>
        <v>OK</v>
      </c>
      <c r="DA41" s="132" t="str">
        <f t="shared" si="43"/>
        <v>OK</v>
      </c>
      <c r="DB41" s="132" t="str">
        <f t="shared" si="44"/>
        <v>OK</v>
      </c>
      <c r="DC41" s="132" t="str">
        <f>IF(AND(ISNUMBER(#REF!),J41&lt;&gt;FixedDim),"Select fixed dimming with an illuminance factor","OK")</f>
        <v>OK</v>
      </c>
      <c r="DD41" s="132" t="str">
        <f>IF(AND(NOT(ISNUMBER(#REF!)),J41=FixedDim),"Enter an illuminance factor","OK")</f>
        <v>OK</v>
      </c>
      <c r="DE41" s="132" t="str">
        <f t="shared" si="68"/>
        <v>OK</v>
      </c>
      <c r="DF41" s="267" t="str">
        <f t="shared" si="45"/>
        <v>OK</v>
      </c>
      <c r="DG41" s="267" t="str">
        <f t="shared" si="46"/>
        <v>OK</v>
      </c>
      <c r="DH41" s="267" t="str">
        <f t="shared" si="47"/>
        <v>OK</v>
      </c>
      <c r="DI41" s="143" t="str">
        <f t="shared" si="48"/>
        <v>OK</v>
      </c>
      <c r="DJ41" s="134">
        <f t="shared" si="49"/>
        <v>0</v>
      </c>
      <c r="DK41" s="133" t="str">
        <f t="shared" si="50"/>
        <v>OK</v>
      </c>
    </row>
    <row r="42" spans="1:115" ht="17.649999999999999" hidden="1" x14ac:dyDescent="0.5">
      <c r="A42" s="197"/>
      <c r="B42" s="416" t="str">
        <f t="shared" si="0"/>
        <v>-</v>
      </c>
      <c r="C42" s="342">
        <v>15</v>
      </c>
      <c r="D42" s="420"/>
      <c r="E42" s="421"/>
      <c r="F42" s="422"/>
      <c r="G42" s="423"/>
      <c r="H42" s="530"/>
      <c r="I42" s="530"/>
      <c r="J42" s="424"/>
      <c r="K42" s="428"/>
      <c r="L42" s="428"/>
      <c r="M42" s="429"/>
      <c r="N42" s="418" t="str">
        <f t="shared" si="1"/>
        <v/>
      </c>
      <c r="O42" s="418" t="str">
        <f t="shared" si="51"/>
        <v/>
      </c>
      <c r="P42" s="419" t="str">
        <f t="shared" si="2"/>
        <v/>
      </c>
      <c r="Q42" s="343"/>
      <c r="R42" s="67" t="str">
        <f t="shared" si="3"/>
        <v/>
      </c>
      <c r="S42" s="20" t="b">
        <f t="shared" si="4"/>
        <v>0</v>
      </c>
      <c r="T42" s="19" t="str">
        <f t="shared" si="52"/>
        <v/>
      </c>
      <c r="U42" s="19" t="str">
        <f t="shared" si="5"/>
        <v/>
      </c>
      <c r="V42" s="179">
        <f t="shared" si="6"/>
        <v>0</v>
      </c>
      <c r="W42" s="180">
        <f t="shared" si="53"/>
        <v>0</v>
      </c>
      <c r="X42" s="180">
        <f t="shared" si="54"/>
        <v>0</v>
      </c>
      <c r="Y42" s="180">
        <f t="shared" si="7"/>
        <v>0</v>
      </c>
      <c r="Z42" s="181">
        <f t="shared" si="55"/>
        <v>0</v>
      </c>
      <c r="AA42" s="179">
        <f t="shared" si="8"/>
        <v>0</v>
      </c>
      <c r="AB42" s="180">
        <f t="shared" si="56"/>
        <v>0</v>
      </c>
      <c r="AC42" s="180">
        <f t="shared" si="57"/>
        <v>0</v>
      </c>
      <c r="AD42" s="180">
        <f t="shared" si="58"/>
        <v>0</v>
      </c>
      <c r="AE42" s="181">
        <f t="shared" si="59"/>
        <v>0</v>
      </c>
      <c r="AF42" s="179">
        <f t="shared" si="9"/>
        <v>0</v>
      </c>
      <c r="AG42" s="180">
        <f t="shared" si="60"/>
        <v>0</v>
      </c>
      <c r="AH42" s="180">
        <f t="shared" si="61"/>
        <v>0</v>
      </c>
      <c r="AI42" s="180">
        <f t="shared" si="62"/>
        <v>0</v>
      </c>
      <c r="AJ42" s="181">
        <f t="shared" si="63"/>
        <v>0</v>
      </c>
      <c r="AK42" s="184" t="b">
        <f t="shared" si="10"/>
        <v>1</v>
      </c>
      <c r="AL42" s="265" t="b">
        <f t="shared" si="11"/>
        <v>1</v>
      </c>
      <c r="AM42" s="21" t="str">
        <f t="shared" si="12"/>
        <v/>
      </c>
      <c r="AN42" s="21" t="b">
        <f t="shared" si="13"/>
        <v>0</v>
      </c>
      <c r="AO42" s="186" t="b">
        <f>IF(OR(COUNTBLANK(D42:I42)=6,AND(COUNTBLANK(D42:G42)=4,H42=0)),OR(AN43:AN$67),NOT(AN42))</f>
        <v>0</v>
      </c>
      <c r="AP42" s="21" t="b">
        <f t="shared" si="14"/>
        <v>1</v>
      </c>
      <c r="AQ42" s="21" t="b">
        <f t="shared" si="64"/>
        <v>1</v>
      </c>
      <c r="AR42" s="22">
        <f t="shared" si="15"/>
        <v>0</v>
      </c>
      <c r="AS42" s="22" t="str">
        <f t="shared" si="16"/>
        <v/>
      </c>
      <c r="AT42" s="199" t="str">
        <f t="shared" si="65"/>
        <v/>
      </c>
      <c r="AU42" s="200" t="str">
        <f t="shared" si="17"/>
        <v/>
      </c>
      <c r="AV42" s="68" t="str">
        <f t="shared" si="18"/>
        <v/>
      </c>
      <c r="AW42" s="169"/>
      <c r="AX42" s="68" t="str">
        <f t="shared" si="66"/>
        <v/>
      </c>
      <c r="AY42" s="476"/>
      <c r="AZ42" s="476"/>
      <c r="BA42" s="189" t="b">
        <f t="shared" ca="1" si="19"/>
        <v>0</v>
      </c>
      <c r="BB42" s="190" t="b">
        <f t="shared" ca="1" si="20"/>
        <v>0</v>
      </c>
      <c r="BC42" s="191" t="b">
        <f t="shared" ca="1" si="21"/>
        <v>0</v>
      </c>
      <c r="BD42" s="189" t="b">
        <f t="shared" ca="1" si="22"/>
        <v>0</v>
      </c>
      <c r="BE42" s="189" t="b">
        <f t="shared" ca="1" si="23"/>
        <v>0</v>
      </c>
      <c r="BF42" s="190" t="b">
        <f t="shared" ca="1" si="24"/>
        <v>0</v>
      </c>
      <c r="BG42" s="191" t="b">
        <f t="shared" ca="1" si="25"/>
        <v>0</v>
      </c>
      <c r="BH42" s="189" t="b">
        <f t="shared" ca="1" si="26"/>
        <v>0</v>
      </c>
      <c r="BI42" s="190" t="b">
        <f t="shared" si="67"/>
        <v>0</v>
      </c>
      <c r="BJ42" s="192" t="b">
        <f t="shared" si="27"/>
        <v>0</v>
      </c>
      <c r="BK42" s="193" t="b">
        <f t="shared" si="28"/>
        <v>0</v>
      </c>
      <c r="BL42" s="176" t="str">
        <f t="shared" si="29"/>
        <v/>
      </c>
      <c r="BN42" s="142" t="str">
        <f t="shared" si="30"/>
        <v>no data</v>
      </c>
      <c r="BP42" s="51">
        <v>15</v>
      </c>
      <c r="BQ42" s="51" t="str">
        <f t="shared" si="31"/>
        <v>-</v>
      </c>
      <c r="BS42"/>
      <c r="BU42" s="73"/>
      <c r="BV42" s="27"/>
      <c r="BW42" s="276"/>
      <c r="BX42" s="276"/>
      <c r="BY42" s="417">
        <f t="shared" si="32"/>
        <v>15</v>
      </c>
      <c r="BZ42" s="344">
        <f t="shared" si="33"/>
        <v>0</v>
      </c>
      <c r="CA42" s="344">
        <f t="shared" si="34"/>
        <v>0</v>
      </c>
      <c r="CB42" s="345" t="str">
        <f t="shared" si="35"/>
        <v/>
      </c>
      <c r="CC42" s="346" t="str">
        <f>IF(AQ42,IF(ISNUMBER(#REF!),MAX('Adjustment factors'!$S$16,0.2+0.8*#REF!),IF(ISTEXT(J42),VLOOKUP(J42,Afactors,2,FALSE),"")),"")</f>
        <v/>
      </c>
      <c r="CD42" s="347" t="str">
        <f t="shared" si="36"/>
        <v/>
      </c>
      <c r="CE42" s="280"/>
      <c r="CF42" s="280"/>
      <c r="CG42" s="280"/>
      <c r="CH42" s="280"/>
      <c r="CI42" s="276"/>
      <c r="CJ42" s="276"/>
      <c r="CK42" s="276"/>
      <c r="CL42" s="276"/>
      <c r="CM42" s="276"/>
      <c r="CN42" s="276"/>
      <c r="CO42" s="276"/>
      <c r="CP42" s="276"/>
      <c r="CQ42" s="276"/>
      <c r="CR42" s="276"/>
      <c r="CS42" s="276"/>
      <c r="CU42" s="142" t="str">
        <f t="shared" si="37"/>
        <v>OK</v>
      </c>
      <c r="CV42" s="142" t="str">
        <f t="shared" si="38"/>
        <v>OK</v>
      </c>
      <c r="CW42" s="142" t="str">
        <f t="shared" si="39"/>
        <v>OK</v>
      </c>
      <c r="CX42" s="142" t="str">
        <f t="shared" si="40"/>
        <v>OK</v>
      </c>
      <c r="CY42" s="143" t="str">
        <f t="shared" si="41"/>
        <v>OK</v>
      </c>
      <c r="CZ42" s="132" t="str">
        <f t="shared" si="42"/>
        <v>OK</v>
      </c>
      <c r="DA42" s="132" t="str">
        <f t="shared" si="43"/>
        <v>OK</v>
      </c>
      <c r="DB42" s="132" t="str">
        <f t="shared" si="44"/>
        <v>OK</v>
      </c>
      <c r="DC42" s="132" t="str">
        <f>IF(AND(ISNUMBER(#REF!),J42&lt;&gt;FixedDim),"Select fixed dimming with an illuminance factor","OK")</f>
        <v>OK</v>
      </c>
      <c r="DD42" s="132" t="str">
        <f>IF(AND(NOT(ISNUMBER(#REF!)),J42=FixedDim),"Enter an illuminance factor","OK")</f>
        <v>OK</v>
      </c>
      <c r="DE42" s="132" t="str">
        <f t="shared" si="68"/>
        <v>OK</v>
      </c>
      <c r="DF42" s="267" t="str">
        <f t="shared" si="45"/>
        <v>OK</v>
      </c>
      <c r="DG42" s="267" t="str">
        <f t="shared" si="46"/>
        <v>OK</v>
      </c>
      <c r="DH42" s="267" t="str">
        <f t="shared" si="47"/>
        <v>OK</v>
      </c>
      <c r="DI42" s="143" t="str">
        <f t="shared" si="48"/>
        <v>OK</v>
      </c>
      <c r="DJ42" s="134">
        <f t="shared" si="49"/>
        <v>0</v>
      </c>
      <c r="DK42" s="133" t="str">
        <f t="shared" si="50"/>
        <v>OK</v>
      </c>
    </row>
    <row r="43" spans="1:115" ht="17.649999999999999" hidden="1" x14ac:dyDescent="0.5">
      <c r="A43" s="197"/>
      <c r="B43" s="416" t="str">
        <f t="shared" si="0"/>
        <v>-</v>
      </c>
      <c r="C43" s="342">
        <v>16</v>
      </c>
      <c r="D43" s="420"/>
      <c r="E43" s="421"/>
      <c r="F43" s="422"/>
      <c r="G43" s="423"/>
      <c r="H43" s="530"/>
      <c r="I43" s="530"/>
      <c r="J43" s="424"/>
      <c r="K43" s="428"/>
      <c r="L43" s="428"/>
      <c r="M43" s="429"/>
      <c r="N43" s="418" t="str">
        <f t="shared" si="1"/>
        <v/>
      </c>
      <c r="O43" s="418" t="str">
        <f t="shared" si="51"/>
        <v/>
      </c>
      <c r="P43" s="419" t="str">
        <f t="shared" si="2"/>
        <v/>
      </c>
      <c r="Q43" s="343"/>
      <c r="R43" s="67" t="str">
        <f t="shared" si="3"/>
        <v/>
      </c>
      <c r="S43" s="20" t="b">
        <f t="shared" si="4"/>
        <v>0</v>
      </c>
      <c r="T43" s="19" t="str">
        <f t="shared" si="52"/>
        <v/>
      </c>
      <c r="U43" s="19" t="str">
        <f t="shared" si="5"/>
        <v/>
      </c>
      <c r="V43" s="179">
        <f t="shared" si="6"/>
        <v>0</v>
      </c>
      <c r="W43" s="180">
        <f t="shared" si="53"/>
        <v>0</v>
      </c>
      <c r="X43" s="180">
        <f t="shared" si="54"/>
        <v>0</v>
      </c>
      <c r="Y43" s="180">
        <f t="shared" si="7"/>
        <v>0</v>
      </c>
      <c r="Z43" s="181">
        <f t="shared" si="55"/>
        <v>0</v>
      </c>
      <c r="AA43" s="179">
        <f t="shared" si="8"/>
        <v>0</v>
      </c>
      <c r="AB43" s="180">
        <f t="shared" si="56"/>
        <v>0</v>
      </c>
      <c r="AC43" s="180">
        <f t="shared" si="57"/>
        <v>0</v>
      </c>
      <c r="AD43" s="180">
        <f t="shared" si="58"/>
        <v>0</v>
      </c>
      <c r="AE43" s="181">
        <f t="shared" si="59"/>
        <v>0</v>
      </c>
      <c r="AF43" s="179">
        <f t="shared" si="9"/>
        <v>0</v>
      </c>
      <c r="AG43" s="180">
        <f t="shared" si="60"/>
        <v>0</v>
      </c>
      <c r="AH43" s="180">
        <f t="shared" si="61"/>
        <v>0</v>
      </c>
      <c r="AI43" s="180">
        <f t="shared" si="62"/>
        <v>0</v>
      </c>
      <c r="AJ43" s="181">
        <f t="shared" si="63"/>
        <v>0</v>
      </c>
      <c r="AK43" s="184" t="b">
        <f t="shared" si="10"/>
        <v>1</v>
      </c>
      <c r="AL43" s="265" t="b">
        <f t="shared" si="11"/>
        <v>1</v>
      </c>
      <c r="AM43" s="21" t="str">
        <f t="shared" si="12"/>
        <v/>
      </c>
      <c r="AN43" s="21" t="b">
        <f t="shared" si="13"/>
        <v>0</v>
      </c>
      <c r="AO43" s="186" t="b">
        <f>IF(OR(COUNTBLANK(D43:I43)=6,AND(COUNTBLANK(D43:G43)=4,H43=0)),OR(AN44:AN$67),NOT(AN43))</f>
        <v>0</v>
      </c>
      <c r="AP43" s="21" t="b">
        <f t="shared" si="14"/>
        <v>1</v>
      </c>
      <c r="AQ43" s="21" t="b">
        <f t="shared" si="64"/>
        <v>1</v>
      </c>
      <c r="AR43" s="22">
        <f t="shared" si="15"/>
        <v>0</v>
      </c>
      <c r="AS43" s="22" t="str">
        <f t="shared" si="16"/>
        <v/>
      </c>
      <c r="AT43" s="199" t="str">
        <f t="shared" si="65"/>
        <v/>
      </c>
      <c r="AU43" s="200" t="str">
        <f t="shared" si="17"/>
        <v/>
      </c>
      <c r="AV43" s="68" t="str">
        <f t="shared" si="18"/>
        <v/>
      </c>
      <c r="AW43" s="169"/>
      <c r="AX43" s="68" t="str">
        <f t="shared" si="66"/>
        <v/>
      </c>
      <c r="AY43" s="476"/>
      <c r="AZ43" s="476"/>
      <c r="BA43" s="189" t="b">
        <f t="shared" ca="1" si="19"/>
        <v>0</v>
      </c>
      <c r="BB43" s="190" t="b">
        <f t="shared" ca="1" si="20"/>
        <v>0</v>
      </c>
      <c r="BC43" s="191" t="b">
        <f t="shared" ca="1" si="21"/>
        <v>0</v>
      </c>
      <c r="BD43" s="189" t="b">
        <f t="shared" ca="1" si="22"/>
        <v>0</v>
      </c>
      <c r="BE43" s="189" t="b">
        <f t="shared" ca="1" si="23"/>
        <v>0</v>
      </c>
      <c r="BF43" s="190" t="b">
        <f t="shared" ca="1" si="24"/>
        <v>0</v>
      </c>
      <c r="BG43" s="191" t="b">
        <f t="shared" ca="1" si="25"/>
        <v>0</v>
      </c>
      <c r="BH43" s="189" t="b">
        <f t="shared" ca="1" si="26"/>
        <v>0</v>
      </c>
      <c r="BI43" s="190" t="b">
        <f t="shared" si="67"/>
        <v>0</v>
      </c>
      <c r="BJ43" s="192" t="b">
        <f t="shared" si="27"/>
        <v>0</v>
      </c>
      <c r="BK43" s="193" t="b">
        <f t="shared" si="28"/>
        <v>0</v>
      </c>
      <c r="BL43" s="176" t="str">
        <f t="shared" si="29"/>
        <v/>
      </c>
      <c r="BN43" s="142" t="str">
        <f t="shared" si="30"/>
        <v>no data</v>
      </c>
      <c r="BP43" s="51">
        <v>16</v>
      </c>
      <c r="BQ43" s="51" t="str">
        <f t="shared" si="31"/>
        <v>-</v>
      </c>
      <c r="BS43"/>
      <c r="BU43" s="73"/>
      <c r="BV43" s="27"/>
      <c r="BW43" s="276"/>
      <c r="BX43" s="276"/>
      <c r="BY43" s="417">
        <f t="shared" si="32"/>
        <v>16</v>
      </c>
      <c r="BZ43" s="344">
        <f t="shared" si="33"/>
        <v>0</v>
      </c>
      <c r="CA43" s="344">
        <f t="shared" si="34"/>
        <v>0</v>
      </c>
      <c r="CB43" s="345" t="str">
        <f t="shared" si="35"/>
        <v/>
      </c>
      <c r="CC43" s="346" t="str">
        <f>IF(AQ43,IF(ISNUMBER(#REF!),MAX('Adjustment factors'!$S$16,0.2+0.8*#REF!),IF(ISTEXT(J43),VLOOKUP(J43,Afactors,2,FALSE),"")),"")</f>
        <v/>
      </c>
      <c r="CD43" s="347" t="str">
        <f t="shared" si="36"/>
        <v/>
      </c>
      <c r="CE43" s="280"/>
      <c r="CF43" s="280"/>
      <c r="CG43" s="280"/>
      <c r="CH43" s="280"/>
      <c r="CI43" s="276"/>
      <c r="CJ43" s="276"/>
      <c r="CK43" s="276"/>
      <c r="CL43" s="276"/>
      <c r="CM43" s="276"/>
      <c r="CN43" s="276"/>
      <c r="CO43" s="276"/>
      <c r="CP43" s="276"/>
      <c r="CQ43" s="276"/>
      <c r="CR43" s="276"/>
      <c r="CS43" s="276"/>
      <c r="CU43" s="142" t="str">
        <f t="shared" si="37"/>
        <v>OK</v>
      </c>
      <c r="CV43" s="142" t="str">
        <f t="shared" si="38"/>
        <v>OK</v>
      </c>
      <c r="CW43" s="142" t="str">
        <f t="shared" si="39"/>
        <v>OK</v>
      </c>
      <c r="CX43" s="142" t="str">
        <f t="shared" si="40"/>
        <v>OK</v>
      </c>
      <c r="CY43" s="143" t="str">
        <f t="shared" si="41"/>
        <v>OK</v>
      </c>
      <c r="CZ43" s="132" t="str">
        <f t="shared" si="42"/>
        <v>OK</v>
      </c>
      <c r="DA43" s="132" t="str">
        <f t="shared" si="43"/>
        <v>OK</v>
      </c>
      <c r="DB43" s="132" t="str">
        <f t="shared" si="44"/>
        <v>OK</v>
      </c>
      <c r="DC43" s="132" t="str">
        <f>IF(AND(ISNUMBER(#REF!),J43&lt;&gt;FixedDim),"Select fixed dimming with an illuminance factor","OK")</f>
        <v>OK</v>
      </c>
      <c r="DD43" s="132" t="str">
        <f>IF(AND(NOT(ISNUMBER(#REF!)),J43=FixedDim),"Enter an illuminance factor","OK")</f>
        <v>OK</v>
      </c>
      <c r="DE43" s="132" t="str">
        <f t="shared" si="68"/>
        <v>OK</v>
      </c>
      <c r="DF43" s="267" t="str">
        <f t="shared" si="45"/>
        <v>OK</v>
      </c>
      <c r="DG43" s="267" t="str">
        <f t="shared" si="46"/>
        <v>OK</v>
      </c>
      <c r="DH43" s="267" t="str">
        <f t="shared" si="47"/>
        <v>OK</v>
      </c>
      <c r="DI43" s="143" t="str">
        <f t="shared" si="48"/>
        <v>OK</v>
      </c>
      <c r="DJ43" s="134">
        <f t="shared" si="49"/>
        <v>0</v>
      </c>
      <c r="DK43" s="133" t="str">
        <f t="shared" si="50"/>
        <v>OK</v>
      </c>
    </row>
    <row r="44" spans="1:115" ht="17.649999999999999" hidden="1" x14ac:dyDescent="0.5">
      <c r="A44" s="197"/>
      <c r="B44" s="416" t="str">
        <f t="shared" si="0"/>
        <v>-</v>
      </c>
      <c r="C44" s="342">
        <v>17</v>
      </c>
      <c r="D44" s="420"/>
      <c r="E44" s="421"/>
      <c r="F44" s="422"/>
      <c r="G44" s="423"/>
      <c r="H44" s="530"/>
      <c r="I44" s="530"/>
      <c r="J44" s="424"/>
      <c r="K44" s="428"/>
      <c r="L44" s="428"/>
      <c r="M44" s="429"/>
      <c r="N44" s="418" t="str">
        <f t="shared" si="1"/>
        <v/>
      </c>
      <c r="O44" s="418" t="str">
        <f t="shared" si="51"/>
        <v/>
      </c>
      <c r="P44" s="419" t="str">
        <f t="shared" si="2"/>
        <v/>
      </c>
      <c r="Q44" s="343"/>
      <c r="R44" s="67" t="str">
        <f t="shared" si="3"/>
        <v/>
      </c>
      <c r="S44" s="20" t="b">
        <f t="shared" si="4"/>
        <v>0</v>
      </c>
      <c r="T44" s="19" t="str">
        <f t="shared" si="52"/>
        <v/>
      </c>
      <c r="U44" s="19" t="str">
        <f t="shared" si="5"/>
        <v/>
      </c>
      <c r="V44" s="179">
        <f t="shared" si="6"/>
        <v>0</v>
      </c>
      <c r="W44" s="180">
        <f t="shared" si="53"/>
        <v>0</v>
      </c>
      <c r="X44" s="180">
        <f t="shared" si="54"/>
        <v>0</v>
      </c>
      <c r="Y44" s="180">
        <f t="shared" si="7"/>
        <v>0</v>
      </c>
      <c r="Z44" s="181">
        <f t="shared" si="55"/>
        <v>0</v>
      </c>
      <c r="AA44" s="179">
        <f t="shared" si="8"/>
        <v>0</v>
      </c>
      <c r="AB44" s="180">
        <f t="shared" si="56"/>
        <v>0</v>
      </c>
      <c r="AC44" s="180">
        <f t="shared" si="57"/>
        <v>0</v>
      </c>
      <c r="AD44" s="180">
        <f t="shared" si="58"/>
        <v>0</v>
      </c>
      <c r="AE44" s="181">
        <f t="shared" si="59"/>
        <v>0</v>
      </c>
      <c r="AF44" s="179">
        <f t="shared" si="9"/>
        <v>0</v>
      </c>
      <c r="AG44" s="180">
        <f t="shared" si="60"/>
        <v>0</v>
      </c>
      <c r="AH44" s="180">
        <f t="shared" si="61"/>
        <v>0</v>
      </c>
      <c r="AI44" s="180">
        <f t="shared" si="62"/>
        <v>0</v>
      </c>
      <c r="AJ44" s="181">
        <f t="shared" si="63"/>
        <v>0</v>
      </c>
      <c r="AK44" s="184" t="b">
        <f t="shared" si="10"/>
        <v>1</v>
      </c>
      <c r="AL44" s="265" t="b">
        <f t="shared" si="11"/>
        <v>1</v>
      </c>
      <c r="AM44" s="21" t="str">
        <f t="shared" si="12"/>
        <v/>
      </c>
      <c r="AN44" s="21" t="b">
        <f t="shared" si="13"/>
        <v>0</v>
      </c>
      <c r="AO44" s="186" t="b">
        <f>IF(OR(COUNTBLANK(D44:I44)=6,AND(COUNTBLANK(D44:G44)=4,H44=0)),OR(AN45:AN$67),NOT(AN44))</f>
        <v>0</v>
      </c>
      <c r="AP44" s="21" t="b">
        <f t="shared" si="14"/>
        <v>1</v>
      </c>
      <c r="AQ44" s="21" t="b">
        <f t="shared" si="64"/>
        <v>1</v>
      </c>
      <c r="AR44" s="22">
        <f t="shared" si="15"/>
        <v>0</v>
      </c>
      <c r="AS44" s="22" t="str">
        <f t="shared" si="16"/>
        <v/>
      </c>
      <c r="AT44" s="199" t="str">
        <f t="shared" si="65"/>
        <v/>
      </c>
      <c r="AU44" s="200" t="str">
        <f t="shared" si="17"/>
        <v/>
      </c>
      <c r="AV44" s="68" t="str">
        <f t="shared" si="18"/>
        <v/>
      </c>
      <c r="AW44" s="169"/>
      <c r="AX44" s="68" t="str">
        <f t="shared" si="66"/>
        <v/>
      </c>
      <c r="AY44" s="476"/>
      <c r="AZ44" s="476"/>
      <c r="BA44" s="189" t="b">
        <f t="shared" ca="1" si="19"/>
        <v>0</v>
      </c>
      <c r="BB44" s="190" t="b">
        <f t="shared" ca="1" si="20"/>
        <v>0</v>
      </c>
      <c r="BC44" s="191" t="b">
        <f t="shared" ca="1" si="21"/>
        <v>0</v>
      </c>
      <c r="BD44" s="189" t="b">
        <f t="shared" ca="1" si="22"/>
        <v>0</v>
      </c>
      <c r="BE44" s="189" t="b">
        <f t="shared" ca="1" si="23"/>
        <v>0</v>
      </c>
      <c r="BF44" s="190" t="b">
        <f t="shared" ca="1" si="24"/>
        <v>0</v>
      </c>
      <c r="BG44" s="191" t="b">
        <f t="shared" ca="1" si="25"/>
        <v>0</v>
      </c>
      <c r="BH44" s="189" t="b">
        <f t="shared" ca="1" si="26"/>
        <v>0</v>
      </c>
      <c r="BI44" s="190" t="b">
        <f t="shared" si="67"/>
        <v>0</v>
      </c>
      <c r="BJ44" s="192" t="b">
        <f t="shared" si="27"/>
        <v>0</v>
      </c>
      <c r="BK44" s="193" t="b">
        <f t="shared" si="28"/>
        <v>0</v>
      </c>
      <c r="BL44" s="176" t="str">
        <f t="shared" si="29"/>
        <v/>
      </c>
      <c r="BN44" s="142" t="str">
        <f t="shared" si="30"/>
        <v>no data</v>
      </c>
      <c r="BP44" s="51">
        <v>17</v>
      </c>
      <c r="BQ44" s="51" t="str">
        <f t="shared" si="31"/>
        <v>-</v>
      </c>
      <c r="BS44"/>
      <c r="BU44" s="73"/>
      <c r="BV44" s="27"/>
      <c r="BW44" s="276"/>
      <c r="BX44" s="276"/>
      <c r="BY44" s="417">
        <f t="shared" si="32"/>
        <v>17</v>
      </c>
      <c r="BZ44" s="344">
        <f t="shared" si="33"/>
        <v>0</v>
      </c>
      <c r="CA44" s="344">
        <f t="shared" si="34"/>
        <v>0</v>
      </c>
      <c r="CB44" s="345" t="str">
        <f t="shared" si="35"/>
        <v/>
      </c>
      <c r="CC44" s="346" t="str">
        <f>IF(AQ44,IF(ISNUMBER(#REF!),MAX('Adjustment factors'!$S$16,0.2+0.8*#REF!),IF(ISTEXT(J44),VLOOKUP(J44,Afactors,2,FALSE),"")),"")</f>
        <v/>
      </c>
      <c r="CD44" s="347" t="str">
        <f t="shared" si="36"/>
        <v/>
      </c>
      <c r="CE44" s="280"/>
      <c r="CF44" s="280"/>
      <c r="CG44" s="280"/>
      <c r="CH44" s="280"/>
      <c r="CI44" s="276"/>
      <c r="CJ44" s="276"/>
      <c r="CK44" s="276"/>
      <c r="CL44" s="276"/>
      <c r="CM44" s="276"/>
      <c r="CN44" s="276"/>
      <c r="CO44" s="276"/>
      <c r="CP44" s="276"/>
      <c r="CQ44" s="276"/>
      <c r="CR44" s="276"/>
      <c r="CS44" s="276"/>
      <c r="CU44" s="142" t="str">
        <f t="shared" si="37"/>
        <v>OK</v>
      </c>
      <c r="CV44" s="142" t="str">
        <f t="shared" si="38"/>
        <v>OK</v>
      </c>
      <c r="CW44" s="142" t="str">
        <f t="shared" si="39"/>
        <v>OK</v>
      </c>
      <c r="CX44" s="142" t="str">
        <f t="shared" si="40"/>
        <v>OK</v>
      </c>
      <c r="CY44" s="143" t="str">
        <f t="shared" si="41"/>
        <v>OK</v>
      </c>
      <c r="CZ44" s="132" t="str">
        <f t="shared" si="42"/>
        <v>OK</v>
      </c>
      <c r="DA44" s="132" t="str">
        <f t="shared" si="43"/>
        <v>OK</v>
      </c>
      <c r="DB44" s="132" t="str">
        <f t="shared" si="44"/>
        <v>OK</v>
      </c>
      <c r="DC44" s="132" t="str">
        <f>IF(AND(ISNUMBER(#REF!),J44&lt;&gt;FixedDim),"Select fixed dimming with an illuminance factor","OK")</f>
        <v>OK</v>
      </c>
      <c r="DD44" s="132" t="str">
        <f>IF(AND(NOT(ISNUMBER(#REF!)),J44=FixedDim),"Enter an illuminance factor","OK")</f>
        <v>OK</v>
      </c>
      <c r="DE44" s="132" t="str">
        <f t="shared" si="68"/>
        <v>OK</v>
      </c>
      <c r="DF44" s="267" t="str">
        <f t="shared" si="45"/>
        <v>OK</v>
      </c>
      <c r="DG44" s="267" t="str">
        <f t="shared" si="46"/>
        <v>OK</v>
      </c>
      <c r="DH44" s="267" t="str">
        <f t="shared" si="47"/>
        <v>OK</v>
      </c>
      <c r="DI44" s="143" t="str">
        <f t="shared" si="48"/>
        <v>OK</v>
      </c>
      <c r="DJ44" s="134">
        <f t="shared" si="49"/>
        <v>0</v>
      </c>
      <c r="DK44" s="133" t="str">
        <f t="shared" si="50"/>
        <v>OK</v>
      </c>
    </row>
    <row r="45" spans="1:115" ht="17.649999999999999" hidden="1" x14ac:dyDescent="0.5">
      <c r="A45" s="197"/>
      <c r="B45" s="416" t="str">
        <f t="shared" si="0"/>
        <v>-</v>
      </c>
      <c r="C45" s="342">
        <v>18</v>
      </c>
      <c r="D45" s="420"/>
      <c r="E45" s="421"/>
      <c r="F45" s="422"/>
      <c r="G45" s="423"/>
      <c r="H45" s="530"/>
      <c r="I45" s="530"/>
      <c r="J45" s="424"/>
      <c r="K45" s="428"/>
      <c r="L45" s="428"/>
      <c r="M45" s="429"/>
      <c r="N45" s="418" t="str">
        <f t="shared" si="1"/>
        <v/>
      </c>
      <c r="O45" s="418" t="str">
        <f t="shared" si="51"/>
        <v/>
      </c>
      <c r="P45" s="419" t="str">
        <f t="shared" si="2"/>
        <v/>
      </c>
      <c r="Q45" s="343"/>
      <c r="R45" s="67" t="str">
        <f t="shared" si="3"/>
        <v/>
      </c>
      <c r="S45" s="20" t="b">
        <f t="shared" si="4"/>
        <v>0</v>
      </c>
      <c r="T45" s="19" t="str">
        <f t="shared" si="52"/>
        <v/>
      </c>
      <c r="U45" s="19" t="str">
        <f t="shared" si="5"/>
        <v/>
      </c>
      <c r="V45" s="179">
        <f t="shared" si="6"/>
        <v>0</v>
      </c>
      <c r="W45" s="180">
        <f t="shared" si="53"/>
        <v>0</v>
      </c>
      <c r="X45" s="180">
        <f t="shared" si="54"/>
        <v>0</v>
      </c>
      <c r="Y45" s="180">
        <f t="shared" si="7"/>
        <v>0</v>
      </c>
      <c r="Z45" s="181">
        <f t="shared" si="55"/>
        <v>0</v>
      </c>
      <c r="AA45" s="179">
        <f t="shared" si="8"/>
        <v>0</v>
      </c>
      <c r="AB45" s="180">
        <f t="shared" si="56"/>
        <v>0</v>
      </c>
      <c r="AC45" s="180">
        <f t="shared" si="57"/>
        <v>0</v>
      </c>
      <c r="AD45" s="180">
        <f t="shared" si="58"/>
        <v>0</v>
      </c>
      <c r="AE45" s="181">
        <f t="shared" si="59"/>
        <v>0</v>
      </c>
      <c r="AF45" s="179">
        <f t="shared" si="9"/>
        <v>0</v>
      </c>
      <c r="AG45" s="180">
        <f t="shared" si="60"/>
        <v>0</v>
      </c>
      <c r="AH45" s="180">
        <f t="shared" si="61"/>
        <v>0</v>
      </c>
      <c r="AI45" s="180">
        <f t="shared" si="62"/>
        <v>0</v>
      </c>
      <c r="AJ45" s="181">
        <f t="shared" si="63"/>
        <v>0</v>
      </c>
      <c r="AK45" s="184" t="b">
        <f t="shared" si="10"/>
        <v>1</v>
      </c>
      <c r="AL45" s="265" t="b">
        <f t="shared" si="11"/>
        <v>1</v>
      </c>
      <c r="AM45" s="21" t="str">
        <f t="shared" si="12"/>
        <v/>
      </c>
      <c r="AN45" s="21" t="b">
        <f t="shared" si="13"/>
        <v>0</v>
      </c>
      <c r="AO45" s="186" t="b">
        <f>IF(OR(COUNTBLANK(D45:I45)=6,AND(COUNTBLANK(D45:G45)=4,H45=0)),OR(AN46:AN$67),NOT(AN45))</f>
        <v>0</v>
      </c>
      <c r="AP45" s="21" t="b">
        <f t="shared" si="14"/>
        <v>1</v>
      </c>
      <c r="AQ45" s="21" t="b">
        <f t="shared" si="64"/>
        <v>1</v>
      </c>
      <c r="AR45" s="22">
        <f t="shared" si="15"/>
        <v>0</v>
      </c>
      <c r="AS45" s="22" t="str">
        <f t="shared" si="16"/>
        <v/>
      </c>
      <c r="AT45" s="199" t="str">
        <f t="shared" si="65"/>
        <v/>
      </c>
      <c r="AU45" s="200" t="str">
        <f t="shared" si="17"/>
        <v/>
      </c>
      <c r="AV45" s="68" t="str">
        <f t="shared" si="18"/>
        <v/>
      </c>
      <c r="AW45" s="169"/>
      <c r="AX45" s="68" t="str">
        <f t="shared" si="66"/>
        <v/>
      </c>
      <c r="AY45" s="476"/>
      <c r="AZ45" s="476"/>
      <c r="BA45" s="189" t="b">
        <f t="shared" ca="1" si="19"/>
        <v>0</v>
      </c>
      <c r="BB45" s="190" t="b">
        <f t="shared" ca="1" si="20"/>
        <v>0</v>
      </c>
      <c r="BC45" s="191" t="b">
        <f t="shared" ca="1" si="21"/>
        <v>0</v>
      </c>
      <c r="BD45" s="189" t="b">
        <f t="shared" ca="1" si="22"/>
        <v>0</v>
      </c>
      <c r="BE45" s="189" t="b">
        <f t="shared" ca="1" si="23"/>
        <v>0</v>
      </c>
      <c r="BF45" s="190" t="b">
        <f t="shared" ca="1" si="24"/>
        <v>0</v>
      </c>
      <c r="BG45" s="191" t="b">
        <f t="shared" ca="1" si="25"/>
        <v>0</v>
      </c>
      <c r="BH45" s="189" t="b">
        <f t="shared" ca="1" si="26"/>
        <v>0</v>
      </c>
      <c r="BI45" s="190" t="b">
        <f t="shared" si="67"/>
        <v>0</v>
      </c>
      <c r="BJ45" s="192" t="b">
        <f t="shared" si="27"/>
        <v>0</v>
      </c>
      <c r="BK45" s="193" t="b">
        <f t="shared" si="28"/>
        <v>0</v>
      </c>
      <c r="BL45" s="176" t="str">
        <f t="shared" si="29"/>
        <v/>
      </c>
      <c r="BN45" s="142" t="str">
        <f t="shared" si="30"/>
        <v>no data</v>
      </c>
      <c r="BP45" s="51">
        <v>18</v>
      </c>
      <c r="BQ45" s="51" t="str">
        <f t="shared" si="31"/>
        <v>-</v>
      </c>
      <c r="BS45"/>
      <c r="BU45" s="74"/>
      <c r="BV45" s="27"/>
      <c r="BW45" s="276"/>
      <c r="BX45" s="276"/>
      <c r="BY45" s="417">
        <f t="shared" si="32"/>
        <v>18</v>
      </c>
      <c r="BZ45" s="344">
        <f t="shared" si="33"/>
        <v>0</v>
      </c>
      <c r="CA45" s="344">
        <f t="shared" si="34"/>
        <v>0</v>
      </c>
      <c r="CB45" s="345" t="str">
        <f t="shared" si="35"/>
        <v/>
      </c>
      <c r="CC45" s="346" t="str">
        <f>IF(AQ45,IF(ISNUMBER(#REF!),MAX('Adjustment factors'!$S$16,0.2+0.8*#REF!),IF(ISTEXT(J45),VLOOKUP(J45,Afactors,2,FALSE),"")),"")</f>
        <v/>
      </c>
      <c r="CD45" s="347" t="str">
        <f t="shared" si="36"/>
        <v/>
      </c>
      <c r="CE45" s="280"/>
      <c r="CF45" s="280"/>
      <c r="CG45" s="280"/>
      <c r="CH45" s="280"/>
      <c r="CI45" s="276"/>
      <c r="CJ45" s="276"/>
      <c r="CK45" s="276"/>
      <c r="CL45" s="276"/>
      <c r="CM45" s="276"/>
      <c r="CN45" s="276"/>
      <c r="CO45" s="276"/>
      <c r="CP45" s="276"/>
      <c r="CQ45" s="276"/>
      <c r="CR45" s="276"/>
      <c r="CS45" s="276"/>
      <c r="CU45" s="142" t="str">
        <f t="shared" si="37"/>
        <v>OK</v>
      </c>
      <c r="CV45" s="142" t="str">
        <f t="shared" si="38"/>
        <v>OK</v>
      </c>
      <c r="CW45" s="142" t="str">
        <f t="shared" si="39"/>
        <v>OK</v>
      </c>
      <c r="CX45" s="142" t="str">
        <f t="shared" si="40"/>
        <v>OK</v>
      </c>
      <c r="CY45" s="143" t="str">
        <f t="shared" si="41"/>
        <v>OK</v>
      </c>
      <c r="CZ45" s="132" t="str">
        <f t="shared" si="42"/>
        <v>OK</v>
      </c>
      <c r="DA45" s="132" t="str">
        <f t="shared" si="43"/>
        <v>OK</v>
      </c>
      <c r="DB45" s="132" t="str">
        <f t="shared" si="44"/>
        <v>OK</v>
      </c>
      <c r="DC45" s="132" t="str">
        <f>IF(AND(ISNUMBER(#REF!),J45&lt;&gt;FixedDim),"Select fixed dimming with an illuminance factor","OK")</f>
        <v>OK</v>
      </c>
      <c r="DD45" s="132" t="str">
        <f>IF(AND(NOT(ISNUMBER(#REF!)),J45=FixedDim),"Enter an illuminance factor","OK")</f>
        <v>OK</v>
      </c>
      <c r="DE45" s="132" t="str">
        <f t="shared" si="68"/>
        <v>OK</v>
      </c>
      <c r="DF45" s="267" t="str">
        <f t="shared" si="45"/>
        <v>OK</v>
      </c>
      <c r="DG45" s="267" t="str">
        <f t="shared" si="46"/>
        <v>OK</v>
      </c>
      <c r="DH45" s="267" t="str">
        <f t="shared" si="47"/>
        <v>OK</v>
      </c>
      <c r="DI45" s="143" t="str">
        <f t="shared" si="48"/>
        <v>OK</v>
      </c>
      <c r="DJ45" s="134">
        <f t="shared" si="49"/>
        <v>0</v>
      </c>
      <c r="DK45" s="133" t="str">
        <f t="shared" si="50"/>
        <v>OK</v>
      </c>
    </row>
    <row r="46" spans="1:115" ht="17.649999999999999" hidden="1" x14ac:dyDescent="0.5">
      <c r="A46" s="197"/>
      <c r="B46" s="416" t="str">
        <f t="shared" si="0"/>
        <v>-</v>
      </c>
      <c r="C46" s="342">
        <v>19</v>
      </c>
      <c r="D46" s="420"/>
      <c r="E46" s="421"/>
      <c r="F46" s="422"/>
      <c r="G46" s="423"/>
      <c r="H46" s="530"/>
      <c r="I46" s="530"/>
      <c r="J46" s="424"/>
      <c r="K46" s="428"/>
      <c r="L46" s="428"/>
      <c r="M46" s="429"/>
      <c r="N46" s="418" t="str">
        <f t="shared" si="1"/>
        <v/>
      </c>
      <c r="O46" s="418" t="str">
        <f t="shared" si="51"/>
        <v/>
      </c>
      <c r="P46" s="419" t="str">
        <f t="shared" si="2"/>
        <v/>
      </c>
      <c r="Q46" s="343"/>
      <c r="R46" s="67" t="str">
        <f t="shared" si="3"/>
        <v/>
      </c>
      <c r="S46" s="20" t="b">
        <f t="shared" si="4"/>
        <v>0</v>
      </c>
      <c r="T46" s="19" t="str">
        <f t="shared" si="52"/>
        <v/>
      </c>
      <c r="U46" s="19" t="str">
        <f t="shared" si="5"/>
        <v/>
      </c>
      <c r="V46" s="179">
        <f t="shared" si="6"/>
        <v>0</v>
      </c>
      <c r="W46" s="180">
        <f t="shared" si="53"/>
        <v>0</v>
      </c>
      <c r="X46" s="180">
        <f t="shared" si="54"/>
        <v>0</v>
      </c>
      <c r="Y46" s="180">
        <f t="shared" si="7"/>
        <v>0</v>
      </c>
      <c r="Z46" s="181">
        <f t="shared" si="55"/>
        <v>0</v>
      </c>
      <c r="AA46" s="179">
        <f t="shared" si="8"/>
        <v>0</v>
      </c>
      <c r="AB46" s="180">
        <f t="shared" si="56"/>
        <v>0</v>
      </c>
      <c r="AC46" s="180">
        <f t="shared" si="57"/>
        <v>0</v>
      </c>
      <c r="AD46" s="180">
        <f t="shared" si="58"/>
        <v>0</v>
      </c>
      <c r="AE46" s="181">
        <f t="shared" si="59"/>
        <v>0</v>
      </c>
      <c r="AF46" s="179">
        <f t="shared" si="9"/>
        <v>0</v>
      </c>
      <c r="AG46" s="180">
        <f t="shared" si="60"/>
        <v>0</v>
      </c>
      <c r="AH46" s="180">
        <f t="shared" si="61"/>
        <v>0</v>
      </c>
      <c r="AI46" s="180">
        <f t="shared" si="62"/>
        <v>0</v>
      </c>
      <c r="AJ46" s="181">
        <f t="shared" si="63"/>
        <v>0</v>
      </c>
      <c r="AK46" s="184" t="b">
        <f t="shared" si="10"/>
        <v>1</v>
      </c>
      <c r="AL46" s="265" t="b">
        <f t="shared" si="11"/>
        <v>1</v>
      </c>
      <c r="AM46" s="21" t="str">
        <f t="shared" si="12"/>
        <v/>
      </c>
      <c r="AN46" s="21" t="b">
        <f t="shared" si="13"/>
        <v>0</v>
      </c>
      <c r="AO46" s="186" t="b">
        <f>IF(OR(COUNTBLANK(D46:I46)=6,AND(COUNTBLANK(D46:G46)=4,H46=0)),OR(AN47:AN$67),NOT(AN46))</f>
        <v>0</v>
      </c>
      <c r="AP46" s="21" t="b">
        <f t="shared" si="14"/>
        <v>1</v>
      </c>
      <c r="AQ46" s="21" t="b">
        <f t="shared" si="64"/>
        <v>1</v>
      </c>
      <c r="AR46" s="22">
        <f t="shared" si="15"/>
        <v>0</v>
      </c>
      <c r="AS46" s="22" t="str">
        <f t="shared" si="16"/>
        <v/>
      </c>
      <c r="AT46" s="199" t="str">
        <f t="shared" si="65"/>
        <v/>
      </c>
      <c r="AU46" s="200" t="str">
        <f t="shared" si="17"/>
        <v/>
      </c>
      <c r="AV46" s="68" t="str">
        <f t="shared" si="18"/>
        <v/>
      </c>
      <c r="AW46" s="169"/>
      <c r="AX46" s="68" t="str">
        <f t="shared" si="66"/>
        <v/>
      </c>
      <c r="AY46" s="476"/>
      <c r="AZ46" s="476"/>
      <c r="BA46" s="189" t="b">
        <f t="shared" ca="1" si="19"/>
        <v>0</v>
      </c>
      <c r="BB46" s="190" t="b">
        <f t="shared" ca="1" si="20"/>
        <v>0</v>
      </c>
      <c r="BC46" s="191" t="b">
        <f t="shared" ca="1" si="21"/>
        <v>0</v>
      </c>
      <c r="BD46" s="189" t="b">
        <f t="shared" ca="1" si="22"/>
        <v>0</v>
      </c>
      <c r="BE46" s="189" t="b">
        <f t="shared" ca="1" si="23"/>
        <v>0</v>
      </c>
      <c r="BF46" s="190" t="b">
        <f t="shared" ca="1" si="24"/>
        <v>0</v>
      </c>
      <c r="BG46" s="191" t="b">
        <f t="shared" ca="1" si="25"/>
        <v>0</v>
      </c>
      <c r="BH46" s="189" t="b">
        <f t="shared" ca="1" si="26"/>
        <v>0</v>
      </c>
      <c r="BI46" s="190" t="b">
        <f t="shared" si="67"/>
        <v>0</v>
      </c>
      <c r="BJ46" s="192" t="b">
        <f t="shared" si="27"/>
        <v>0</v>
      </c>
      <c r="BK46" s="193" t="b">
        <f t="shared" si="28"/>
        <v>0</v>
      </c>
      <c r="BL46" s="176" t="str">
        <f t="shared" si="29"/>
        <v/>
      </c>
      <c r="BN46" s="142" t="str">
        <f t="shared" si="30"/>
        <v>no data</v>
      </c>
      <c r="BP46" s="51">
        <v>19</v>
      </c>
      <c r="BQ46" s="51" t="str">
        <f t="shared" si="31"/>
        <v>-</v>
      </c>
      <c r="BS46"/>
      <c r="BU46" s="73"/>
      <c r="BV46" s="27"/>
      <c r="BW46" s="276"/>
      <c r="BX46" s="276"/>
      <c r="BY46" s="417">
        <f t="shared" si="32"/>
        <v>19</v>
      </c>
      <c r="BZ46" s="344">
        <f t="shared" si="33"/>
        <v>0</v>
      </c>
      <c r="CA46" s="344">
        <f t="shared" si="34"/>
        <v>0</v>
      </c>
      <c r="CB46" s="345" t="str">
        <f t="shared" si="35"/>
        <v/>
      </c>
      <c r="CC46" s="346" t="str">
        <f>IF(AQ46,IF(ISNUMBER(#REF!),MAX('Adjustment factors'!$S$16,0.2+0.8*#REF!),IF(ISTEXT(J46),VLOOKUP(J46,Afactors,2,FALSE),"")),"")</f>
        <v/>
      </c>
      <c r="CD46" s="347" t="str">
        <f t="shared" si="36"/>
        <v/>
      </c>
      <c r="CE46" s="280"/>
      <c r="CF46" s="280"/>
      <c r="CG46" s="280"/>
      <c r="CH46" s="280"/>
      <c r="CI46" s="276"/>
      <c r="CJ46" s="276"/>
      <c r="CK46" s="276"/>
      <c r="CL46" s="276"/>
      <c r="CM46" s="276"/>
      <c r="CN46" s="276"/>
      <c r="CO46" s="276"/>
      <c r="CP46" s="276"/>
      <c r="CQ46" s="276"/>
      <c r="CR46" s="276"/>
      <c r="CS46" s="276"/>
      <c r="CU46" s="142" t="str">
        <f t="shared" si="37"/>
        <v>OK</v>
      </c>
      <c r="CV46" s="142" t="str">
        <f t="shared" si="38"/>
        <v>OK</v>
      </c>
      <c r="CW46" s="142" t="str">
        <f t="shared" si="39"/>
        <v>OK</v>
      </c>
      <c r="CX46" s="142" t="str">
        <f t="shared" si="40"/>
        <v>OK</v>
      </c>
      <c r="CY46" s="143" t="str">
        <f t="shared" si="41"/>
        <v>OK</v>
      </c>
      <c r="CZ46" s="132" t="str">
        <f t="shared" si="42"/>
        <v>OK</v>
      </c>
      <c r="DA46" s="132" t="str">
        <f t="shared" si="43"/>
        <v>OK</v>
      </c>
      <c r="DB46" s="132" t="str">
        <f t="shared" si="44"/>
        <v>OK</v>
      </c>
      <c r="DC46" s="132" t="str">
        <f>IF(AND(ISNUMBER(#REF!),J46&lt;&gt;FixedDim),"Select fixed dimming with an illuminance factor","OK")</f>
        <v>OK</v>
      </c>
      <c r="DD46" s="132" t="str">
        <f>IF(AND(NOT(ISNUMBER(#REF!)),J46=FixedDim),"Enter an illuminance factor","OK")</f>
        <v>OK</v>
      </c>
      <c r="DE46" s="132" t="str">
        <f t="shared" si="68"/>
        <v>OK</v>
      </c>
      <c r="DF46" s="267" t="str">
        <f t="shared" si="45"/>
        <v>OK</v>
      </c>
      <c r="DG46" s="267" t="str">
        <f t="shared" si="46"/>
        <v>OK</v>
      </c>
      <c r="DH46" s="267" t="str">
        <f t="shared" si="47"/>
        <v>OK</v>
      </c>
      <c r="DI46" s="143" t="str">
        <f t="shared" si="48"/>
        <v>OK</v>
      </c>
      <c r="DJ46" s="134">
        <f t="shared" si="49"/>
        <v>0</v>
      </c>
      <c r="DK46" s="133" t="str">
        <f t="shared" si="50"/>
        <v>OK</v>
      </c>
    </row>
    <row r="47" spans="1:115" ht="17.649999999999999" hidden="1" x14ac:dyDescent="0.5">
      <c r="A47" s="197"/>
      <c r="B47" s="416" t="str">
        <f t="shared" si="0"/>
        <v>-</v>
      </c>
      <c r="C47" s="342">
        <v>20</v>
      </c>
      <c r="D47" s="420"/>
      <c r="E47" s="421"/>
      <c r="F47" s="422"/>
      <c r="G47" s="423"/>
      <c r="H47" s="530"/>
      <c r="I47" s="530"/>
      <c r="J47" s="424"/>
      <c r="K47" s="428"/>
      <c r="L47" s="428"/>
      <c r="M47" s="429"/>
      <c r="N47" s="418" t="str">
        <f t="shared" si="1"/>
        <v/>
      </c>
      <c r="O47" s="418" t="str">
        <f t="shared" si="51"/>
        <v/>
      </c>
      <c r="P47" s="419" t="str">
        <f t="shared" si="2"/>
        <v/>
      </c>
      <c r="Q47" s="343"/>
      <c r="R47" s="67" t="str">
        <f t="shared" si="3"/>
        <v/>
      </c>
      <c r="S47" s="20" t="b">
        <f t="shared" si="4"/>
        <v>0</v>
      </c>
      <c r="T47" s="19" t="str">
        <f t="shared" si="52"/>
        <v/>
      </c>
      <c r="U47" s="19" t="str">
        <f t="shared" si="5"/>
        <v/>
      </c>
      <c r="V47" s="179">
        <f t="shared" si="6"/>
        <v>0</v>
      </c>
      <c r="W47" s="180">
        <f t="shared" si="53"/>
        <v>0</v>
      </c>
      <c r="X47" s="180">
        <f t="shared" si="54"/>
        <v>0</v>
      </c>
      <c r="Y47" s="180">
        <f t="shared" si="7"/>
        <v>0</v>
      </c>
      <c r="Z47" s="181">
        <f t="shared" si="55"/>
        <v>0</v>
      </c>
      <c r="AA47" s="179">
        <f t="shared" si="8"/>
        <v>0</v>
      </c>
      <c r="AB47" s="180">
        <f t="shared" si="56"/>
        <v>0</v>
      </c>
      <c r="AC47" s="180">
        <f t="shared" si="57"/>
        <v>0</v>
      </c>
      <c r="AD47" s="180">
        <f t="shared" si="58"/>
        <v>0</v>
      </c>
      <c r="AE47" s="181">
        <f t="shared" si="59"/>
        <v>0</v>
      </c>
      <c r="AF47" s="179">
        <f t="shared" si="9"/>
        <v>0</v>
      </c>
      <c r="AG47" s="180">
        <f t="shared" si="60"/>
        <v>0</v>
      </c>
      <c r="AH47" s="180">
        <f t="shared" si="61"/>
        <v>0</v>
      </c>
      <c r="AI47" s="180">
        <f t="shared" si="62"/>
        <v>0</v>
      </c>
      <c r="AJ47" s="181">
        <f t="shared" si="63"/>
        <v>0</v>
      </c>
      <c r="AK47" s="184" t="b">
        <f t="shared" si="10"/>
        <v>1</v>
      </c>
      <c r="AL47" s="265" t="b">
        <f t="shared" si="11"/>
        <v>1</v>
      </c>
      <c r="AM47" s="21" t="str">
        <f t="shared" si="12"/>
        <v/>
      </c>
      <c r="AN47" s="21" t="b">
        <f t="shared" si="13"/>
        <v>0</v>
      </c>
      <c r="AO47" s="186" t="b">
        <f>IF(OR(COUNTBLANK(D47:I47)=6,AND(COUNTBLANK(D47:G47)=4,H47=0)),OR(AN48:AN$67),NOT(AN47))</f>
        <v>0</v>
      </c>
      <c r="AP47" s="21" t="b">
        <f t="shared" si="14"/>
        <v>1</v>
      </c>
      <c r="AQ47" s="21" t="b">
        <f t="shared" si="64"/>
        <v>1</v>
      </c>
      <c r="AR47" s="22">
        <f t="shared" si="15"/>
        <v>0</v>
      </c>
      <c r="AS47" s="22" t="str">
        <f t="shared" si="16"/>
        <v/>
      </c>
      <c r="AT47" s="199" t="str">
        <f t="shared" si="65"/>
        <v/>
      </c>
      <c r="AU47" s="200" t="str">
        <f t="shared" si="17"/>
        <v/>
      </c>
      <c r="AV47" s="68" t="str">
        <f t="shared" si="18"/>
        <v/>
      </c>
      <c r="AW47" s="169"/>
      <c r="AX47" s="68" t="str">
        <f t="shared" si="66"/>
        <v/>
      </c>
      <c r="AY47" s="476"/>
      <c r="AZ47" s="476"/>
      <c r="BA47" s="189" t="b">
        <f t="shared" ca="1" si="19"/>
        <v>0</v>
      </c>
      <c r="BB47" s="190" t="b">
        <f t="shared" ca="1" si="20"/>
        <v>0</v>
      </c>
      <c r="BC47" s="191" t="b">
        <f t="shared" ca="1" si="21"/>
        <v>0</v>
      </c>
      <c r="BD47" s="189" t="b">
        <f t="shared" ca="1" si="22"/>
        <v>0</v>
      </c>
      <c r="BE47" s="189" t="b">
        <f t="shared" ca="1" si="23"/>
        <v>0</v>
      </c>
      <c r="BF47" s="190" t="b">
        <f t="shared" ca="1" si="24"/>
        <v>0</v>
      </c>
      <c r="BG47" s="191" t="b">
        <f t="shared" ca="1" si="25"/>
        <v>0</v>
      </c>
      <c r="BH47" s="189" t="b">
        <f t="shared" ca="1" si="26"/>
        <v>0</v>
      </c>
      <c r="BI47" s="190" t="b">
        <f t="shared" si="67"/>
        <v>0</v>
      </c>
      <c r="BJ47" s="192" t="b">
        <f t="shared" si="27"/>
        <v>0</v>
      </c>
      <c r="BK47" s="193" t="b">
        <f t="shared" si="28"/>
        <v>0</v>
      </c>
      <c r="BL47" s="176" t="str">
        <f t="shared" si="29"/>
        <v/>
      </c>
      <c r="BN47" s="142" t="str">
        <f t="shared" si="30"/>
        <v>no data</v>
      </c>
      <c r="BP47" s="51">
        <v>20</v>
      </c>
      <c r="BQ47" s="51" t="str">
        <f t="shared" si="31"/>
        <v>-</v>
      </c>
      <c r="BS47"/>
      <c r="BU47" s="73"/>
      <c r="BV47" s="27"/>
      <c r="BW47" s="276"/>
      <c r="BX47" s="276"/>
      <c r="BY47" s="417">
        <f t="shared" si="32"/>
        <v>20</v>
      </c>
      <c r="BZ47" s="344">
        <f t="shared" si="33"/>
        <v>0</v>
      </c>
      <c r="CA47" s="344">
        <f t="shared" si="34"/>
        <v>0</v>
      </c>
      <c r="CB47" s="345" t="str">
        <f t="shared" si="35"/>
        <v/>
      </c>
      <c r="CC47" s="346" t="str">
        <f>IF(AQ47,IF(ISNUMBER(#REF!),MAX('Adjustment factors'!$S$16,0.2+0.8*#REF!),IF(ISTEXT(J47),VLOOKUP(J47,Afactors,2,FALSE),"")),"")</f>
        <v/>
      </c>
      <c r="CD47" s="347" t="str">
        <f t="shared" si="36"/>
        <v/>
      </c>
      <c r="CE47" s="280"/>
      <c r="CF47" s="280"/>
      <c r="CG47" s="280"/>
      <c r="CH47" s="280"/>
      <c r="CI47" s="276"/>
      <c r="CJ47" s="276"/>
      <c r="CK47" s="276"/>
      <c r="CL47" s="276"/>
      <c r="CM47" s="276"/>
      <c r="CN47" s="276"/>
      <c r="CO47" s="276"/>
      <c r="CP47" s="276"/>
      <c r="CQ47" s="276"/>
      <c r="CR47" s="276"/>
      <c r="CS47" s="276"/>
      <c r="CU47" s="142" t="str">
        <f t="shared" si="37"/>
        <v>OK</v>
      </c>
      <c r="CV47" s="142" t="str">
        <f t="shared" si="38"/>
        <v>OK</v>
      </c>
      <c r="CW47" s="142" t="str">
        <f t="shared" si="39"/>
        <v>OK</v>
      </c>
      <c r="CX47" s="142" t="str">
        <f t="shared" si="40"/>
        <v>OK</v>
      </c>
      <c r="CY47" s="143" t="str">
        <f t="shared" si="41"/>
        <v>OK</v>
      </c>
      <c r="CZ47" s="132" t="str">
        <f t="shared" si="42"/>
        <v>OK</v>
      </c>
      <c r="DA47" s="132" t="str">
        <f t="shared" si="43"/>
        <v>OK</v>
      </c>
      <c r="DB47" s="132" t="str">
        <f t="shared" si="44"/>
        <v>OK</v>
      </c>
      <c r="DC47" s="132" t="str">
        <f>IF(AND(ISNUMBER(#REF!),J47&lt;&gt;FixedDim),"Select fixed dimming with an illuminance factor","OK")</f>
        <v>OK</v>
      </c>
      <c r="DD47" s="132" t="str">
        <f>IF(AND(NOT(ISNUMBER(#REF!)),J47=FixedDim),"Enter an illuminance factor","OK")</f>
        <v>OK</v>
      </c>
      <c r="DE47" s="132" t="str">
        <f t="shared" si="68"/>
        <v>OK</v>
      </c>
      <c r="DF47" s="267" t="str">
        <f t="shared" si="45"/>
        <v>OK</v>
      </c>
      <c r="DG47" s="267" t="str">
        <f t="shared" si="46"/>
        <v>OK</v>
      </c>
      <c r="DH47" s="267" t="str">
        <f t="shared" si="47"/>
        <v>OK</v>
      </c>
      <c r="DI47" s="143" t="str">
        <f t="shared" si="48"/>
        <v>OK</v>
      </c>
      <c r="DJ47" s="134">
        <f t="shared" si="49"/>
        <v>0</v>
      </c>
      <c r="DK47" s="133" t="str">
        <f t="shared" si="50"/>
        <v>OK</v>
      </c>
    </row>
    <row r="48" spans="1:115" ht="17.649999999999999" hidden="1" x14ac:dyDescent="0.5">
      <c r="A48" s="197"/>
      <c r="B48" s="416" t="str">
        <f t="shared" si="0"/>
        <v>-</v>
      </c>
      <c r="C48" s="342">
        <v>21</v>
      </c>
      <c r="D48" s="420"/>
      <c r="E48" s="421"/>
      <c r="F48" s="422"/>
      <c r="G48" s="423"/>
      <c r="H48" s="530"/>
      <c r="I48" s="530"/>
      <c r="J48" s="424"/>
      <c r="K48" s="428"/>
      <c r="L48" s="428"/>
      <c r="M48" s="429"/>
      <c r="N48" s="418" t="str">
        <f t="shared" si="1"/>
        <v/>
      </c>
      <c r="O48" s="418" t="str">
        <f t="shared" si="51"/>
        <v/>
      </c>
      <c r="P48" s="419" t="str">
        <f t="shared" si="2"/>
        <v/>
      </c>
      <c r="Q48" s="343"/>
      <c r="R48" s="67" t="str">
        <f t="shared" si="3"/>
        <v/>
      </c>
      <c r="S48" s="20" t="b">
        <f t="shared" si="4"/>
        <v>0</v>
      </c>
      <c r="T48" s="19" t="str">
        <f t="shared" si="52"/>
        <v/>
      </c>
      <c r="U48" s="19" t="str">
        <f t="shared" si="5"/>
        <v/>
      </c>
      <c r="V48" s="179">
        <f t="shared" si="6"/>
        <v>0</v>
      </c>
      <c r="W48" s="180">
        <f t="shared" si="53"/>
        <v>0</v>
      </c>
      <c r="X48" s="180">
        <f t="shared" si="54"/>
        <v>0</v>
      </c>
      <c r="Y48" s="180">
        <f t="shared" si="7"/>
        <v>0</v>
      </c>
      <c r="Z48" s="181">
        <f t="shared" si="55"/>
        <v>0</v>
      </c>
      <c r="AA48" s="179">
        <f t="shared" si="8"/>
        <v>0</v>
      </c>
      <c r="AB48" s="180">
        <f t="shared" si="56"/>
        <v>0</v>
      </c>
      <c r="AC48" s="180">
        <f t="shared" si="57"/>
        <v>0</v>
      </c>
      <c r="AD48" s="180">
        <f t="shared" si="58"/>
        <v>0</v>
      </c>
      <c r="AE48" s="181">
        <f t="shared" si="59"/>
        <v>0</v>
      </c>
      <c r="AF48" s="179">
        <f t="shared" si="9"/>
        <v>0</v>
      </c>
      <c r="AG48" s="180">
        <f t="shared" si="60"/>
        <v>0</v>
      </c>
      <c r="AH48" s="180">
        <f t="shared" si="61"/>
        <v>0</v>
      </c>
      <c r="AI48" s="180">
        <f t="shared" si="62"/>
        <v>0</v>
      </c>
      <c r="AJ48" s="181">
        <f t="shared" si="63"/>
        <v>0</v>
      </c>
      <c r="AK48" s="184" t="b">
        <f t="shared" si="10"/>
        <v>1</v>
      </c>
      <c r="AL48" s="265" t="b">
        <f t="shared" si="11"/>
        <v>1</v>
      </c>
      <c r="AM48" s="21" t="str">
        <f t="shared" si="12"/>
        <v/>
      </c>
      <c r="AN48" s="21" t="b">
        <f t="shared" si="13"/>
        <v>0</v>
      </c>
      <c r="AO48" s="186" t="b">
        <f>IF(OR(COUNTBLANK(D48:I48)=6,AND(COUNTBLANK(D48:G48)=4,H48=0)),OR(AN49:AN$67),NOT(AN48))</f>
        <v>0</v>
      </c>
      <c r="AP48" s="21" t="b">
        <f t="shared" si="14"/>
        <v>1</v>
      </c>
      <c r="AQ48" s="21" t="b">
        <f t="shared" si="64"/>
        <v>1</v>
      </c>
      <c r="AR48" s="22">
        <f t="shared" si="15"/>
        <v>0</v>
      </c>
      <c r="AS48" s="22" t="str">
        <f t="shared" si="16"/>
        <v/>
      </c>
      <c r="AT48" s="199" t="str">
        <f t="shared" si="65"/>
        <v/>
      </c>
      <c r="AU48" s="200" t="str">
        <f t="shared" si="17"/>
        <v/>
      </c>
      <c r="AV48" s="68" t="str">
        <f t="shared" si="18"/>
        <v/>
      </c>
      <c r="AW48" s="169"/>
      <c r="AX48" s="68" t="str">
        <f t="shared" si="66"/>
        <v/>
      </c>
      <c r="AY48" s="476"/>
      <c r="AZ48" s="476"/>
      <c r="BA48" s="189" t="b">
        <f t="shared" ca="1" si="19"/>
        <v>0</v>
      </c>
      <c r="BB48" s="190" t="b">
        <f t="shared" ca="1" si="20"/>
        <v>0</v>
      </c>
      <c r="BC48" s="191" t="b">
        <f t="shared" ca="1" si="21"/>
        <v>0</v>
      </c>
      <c r="BD48" s="189" t="b">
        <f t="shared" ca="1" si="22"/>
        <v>0</v>
      </c>
      <c r="BE48" s="189" t="b">
        <f t="shared" ca="1" si="23"/>
        <v>0</v>
      </c>
      <c r="BF48" s="190" t="b">
        <f t="shared" ca="1" si="24"/>
        <v>0</v>
      </c>
      <c r="BG48" s="191" t="b">
        <f t="shared" ca="1" si="25"/>
        <v>0</v>
      </c>
      <c r="BH48" s="189" t="b">
        <f t="shared" ca="1" si="26"/>
        <v>0</v>
      </c>
      <c r="BI48" s="190" t="b">
        <f t="shared" si="67"/>
        <v>0</v>
      </c>
      <c r="BJ48" s="192" t="b">
        <f t="shared" si="27"/>
        <v>0</v>
      </c>
      <c r="BK48" s="193" t="b">
        <f t="shared" si="28"/>
        <v>0</v>
      </c>
      <c r="BL48" s="176" t="str">
        <f t="shared" si="29"/>
        <v/>
      </c>
      <c r="BN48" s="142" t="str">
        <f t="shared" si="30"/>
        <v>no data</v>
      </c>
      <c r="BP48" s="51">
        <v>21</v>
      </c>
      <c r="BQ48" s="51" t="str">
        <f t="shared" si="31"/>
        <v>-</v>
      </c>
      <c r="BS48"/>
      <c r="BU48" s="73"/>
      <c r="BV48" s="27"/>
      <c r="BW48" s="276"/>
      <c r="BX48" s="276"/>
      <c r="BY48" s="417">
        <f t="shared" si="32"/>
        <v>21</v>
      </c>
      <c r="BZ48" s="344">
        <f t="shared" si="33"/>
        <v>0</v>
      </c>
      <c r="CA48" s="344">
        <f t="shared" si="34"/>
        <v>0</v>
      </c>
      <c r="CB48" s="345" t="str">
        <f t="shared" si="35"/>
        <v/>
      </c>
      <c r="CC48" s="346" t="str">
        <f>IF(AQ48,IF(ISNUMBER(#REF!),MAX('Adjustment factors'!$S$16,0.2+0.8*#REF!),IF(ISTEXT(J48),VLOOKUP(J48,Afactors,2,FALSE),"")),"")</f>
        <v/>
      </c>
      <c r="CD48" s="347" t="str">
        <f t="shared" si="36"/>
        <v/>
      </c>
      <c r="CE48" s="280"/>
      <c r="CF48" s="280"/>
      <c r="CG48" s="280"/>
      <c r="CH48" s="280"/>
      <c r="CI48" s="280"/>
      <c r="CJ48" s="276"/>
      <c r="CK48" s="276"/>
      <c r="CL48" s="276"/>
      <c r="CM48" s="276"/>
      <c r="CN48" s="276"/>
      <c r="CO48" s="276"/>
      <c r="CP48" s="276"/>
      <c r="CQ48" s="276"/>
      <c r="CR48" s="276"/>
      <c r="CS48" s="276"/>
      <c r="CU48" s="142" t="str">
        <f t="shared" si="37"/>
        <v>OK</v>
      </c>
      <c r="CV48" s="142" t="str">
        <f t="shared" si="38"/>
        <v>OK</v>
      </c>
      <c r="CW48" s="142" t="str">
        <f t="shared" si="39"/>
        <v>OK</v>
      </c>
      <c r="CX48" s="142" t="str">
        <f t="shared" si="40"/>
        <v>OK</v>
      </c>
      <c r="CY48" s="143" t="str">
        <f t="shared" si="41"/>
        <v>OK</v>
      </c>
      <c r="CZ48" s="132" t="str">
        <f t="shared" si="42"/>
        <v>OK</v>
      </c>
      <c r="DA48" s="132" t="str">
        <f t="shared" si="43"/>
        <v>OK</v>
      </c>
      <c r="DB48" s="132" t="str">
        <f t="shared" si="44"/>
        <v>OK</v>
      </c>
      <c r="DC48" s="132" t="str">
        <f>IF(AND(ISNUMBER(#REF!),J48&lt;&gt;FixedDim),"Select fixed dimming with an illuminance factor","OK")</f>
        <v>OK</v>
      </c>
      <c r="DD48" s="132" t="str">
        <f>IF(AND(NOT(ISNUMBER(#REF!)),J48=FixedDim),"Enter an illuminance factor","OK")</f>
        <v>OK</v>
      </c>
      <c r="DE48" s="132" t="str">
        <f t="shared" si="68"/>
        <v>OK</v>
      </c>
      <c r="DF48" s="267" t="str">
        <f t="shared" si="45"/>
        <v>OK</v>
      </c>
      <c r="DG48" s="267" t="str">
        <f t="shared" si="46"/>
        <v>OK</v>
      </c>
      <c r="DH48" s="267" t="str">
        <f t="shared" si="47"/>
        <v>OK</v>
      </c>
      <c r="DI48" s="143" t="str">
        <f t="shared" si="48"/>
        <v>OK</v>
      </c>
      <c r="DJ48" s="134">
        <f t="shared" si="49"/>
        <v>0</v>
      </c>
      <c r="DK48" s="133" t="str">
        <f t="shared" si="50"/>
        <v>OK</v>
      </c>
    </row>
    <row r="49" spans="1:115" ht="17.649999999999999" hidden="1" x14ac:dyDescent="0.5">
      <c r="A49" s="197"/>
      <c r="B49" s="416" t="str">
        <f t="shared" si="0"/>
        <v>-</v>
      </c>
      <c r="C49" s="342">
        <v>22</v>
      </c>
      <c r="D49" s="420"/>
      <c r="E49" s="421"/>
      <c r="F49" s="422"/>
      <c r="G49" s="423"/>
      <c r="H49" s="530"/>
      <c r="I49" s="530"/>
      <c r="J49" s="424"/>
      <c r="K49" s="428"/>
      <c r="L49" s="428"/>
      <c r="M49" s="429"/>
      <c r="N49" s="418" t="str">
        <f t="shared" si="1"/>
        <v/>
      </c>
      <c r="O49" s="418" t="str">
        <f t="shared" si="51"/>
        <v/>
      </c>
      <c r="P49" s="419" t="str">
        <f t="shared" si="2"/>
        <v/>
      </c>
      <c r="Q49" s="343"/>
      <c r="R49" s="67" t="str">
        <f t="shared" si="3"/>
        <v/>
      </c>
      <c r="S49" s="20" t="b">
        <f t="shared" si="4"/>
        <v>0</v>
      </c>
      <c r="T49" s="19" t="str">
        <f t="shared" si="52"/>
        <v/>
      </c>
      <c r="U49" s="19" t="str">
        <f t="shared" si="5"/>
        <v/>
      </c>
      <c r="V49" s="179">
        <f t="shared" si="6"/>
        <v>0</v>
      </c>
      <c r="W49" s="180">
        <f t="shared" si="53"/>
        <v>0</v>
      </c>
      <c r="X49" s="180">
        <f t="shared" si="54"/>
        <v>0</v>
      </c>
      <c r="Y49" s="180">
        <f t="shared" si="7"/>
        <v>0</v>
      </c>
      <c r="Z49" s="181">
        <f t="shared" si="55"/>
        <v>0</v>
      </c>
      <c r="AA49" s="179">
        <f t="shared" si="8"/>
        <v>0</v>
      </c>
      <c r="AB49" s="180">
        <f t="shared" si="56"/>
        <v>0</v>
      </c>
      <c r="AC49" s="180">
        <f t="shared" si="57"/>
        <v>0</v>
      </c>
      <c r="AD49" s="180">
        <f t="shared" si="58"/>
        <v>0</v>
      </c>
      <c r="AE49" s="181">
        <f t="shared" si="59"/>
        <v>0</v>
      </c>
      <c r="AF49" s="179">
        <f t="shared" si="9"/>
        <v>0</v>
      </c>
      <c r="AG49" s="180">
        <f t="shared" si="60"/>
        <v>0</v>
      </c>
      <c r="AH49" s="180">
        <f t="shared" si="61"/>
        <v>0</v>
      </c>
      <c r="AI49" s="180">
        <f t="shared" si="62"/>
        <v>0</v>
      </c>
      <c r="AJ49" s="181">
        <f t="shared" si="63"/>
        <v>0</v>
      </c>
      <c r="AK49" s="184" t="b">
        <f t="shared" si="10"/>
        <v>1</v>
      </c>
      <c r="AL49" s="265" t="b">
        <f t="shared" si="11"/>
        <v>1</v>
      </c>
      <c r="AM49" s="21" t="str">
        <f t="shared" si="12"/>
        <v/>
      </c>
      <c r="AN49" s="21" t="b">
        <f t="shared" si="13"/>
        <v>0</v>
      </c>
      <c r="AO49" s="186" t="b">
        <f>IF(OR(COUNTBLANK(D49:I49)=6,AND(COUNTBLANK(D49:G49)=4,H49=0)),OR(AN50:AN$67),NOT(AN49))</f>
        <v>0</v>
      </c>
      <c r="AP49" s="21" t="b">
        <f t="shared" si="14"/>
        <v>1</v>
      </c>
      <c r="AQ49" s="21" t="b">
        <f t="shared" si="64"/>
        <v>1</v>
      </c>
      <c r="AR49" s="22">
        <f t="shared" si="15"/>
        <v>0</v>
      </c>
      <c r="AS49" s="22" t="str">
        <f t="shared" si="16"/>
        <v/>
      </c>
      <c r="AT49" s="199" t="str">
        <f t="shared" si="65"/>
        <v/>
      </c>
      <c r="AU49" s="200" t="str">
        <f t="shared" si="17"/>
        <v/>
      </c>
      <c r="AV49" s="68" t="str">
        <f t="shared" si="18"/>
        <v/>
      </c>
      <c r="AW49" s="169"/>
      <c r="AX49" s="68" t="str">
        <f t="shared" si="66"/>
        <v/>
      </c>
      <c r="AY49" s="476"/>
      <c r="AZ49" s="476"/>
      <c r="BA49" s="189" t="b">
        <f t="shared" ca="1" si="19"/>
        <v>0</v>
      </c>
      <c r="BB49" s="190" t="b">
        <f t="shared" ca="1" si="20"/>
        <v>0</v>
      </c>
      <c r="BC49" s="191" t="b">
        <f t="shared" ca="1" si="21"/>
        <v>0</v>
      </c>
      <c r="BD49" s="189" t="b">
        <f t="shared" ca="1" si="22"/>
        <v>0</v>
      </c>
      <c r="BE49" s="189" t="b">
        <f t="shared" ca="1" si="23"/>
        <v>0</v>
      </c>
      <c r="BF49" s="190" t="b">
        <f t="shared" ca="1" si="24"/>
        <v>0</v>
      </c>
      <c r="BG49" s="191" t="b">
        <f t="shared" ca="1" si="25"/>
        <v>0</v>
      </c>
      <c r="BH49" s="189" t="b">
        <f t="shared" ca="1" si="26"/>
        <v>0</v>
      </c>
      <c r="BI49" s="190" t="b">
        <f t="shared" si="67"/>
        <v>0</v>
      </c>
      <c r="BJ49" s="192" t="b">
        <f t="shared" si="27"/>
        <v>0</v>
      </c>
      <c r="BK49" s="193" t="b">
        <f t="shared" si="28"/>
        <v>0</v>
      </c>
      <c r="BL49" s="176" t="str">
        <f t="shared" si="29"/>
        <v/>
      </c>
      <c r="BN49" s="142" t="str">
        <f t="shared" si="30"/>
        <v>no data</v>
      </c>
      <c r="BP49" s="51">
        <v>22</v>
      </c>
      <c r="BQ49" s="51" t="str">
        <f t="shared" si="31"/>
        <v>-</v>
      </c>
      <c r="BS49"/>
      <c r="BU49" s="73"/>
      <c r="BV49" s="27"/>
      <c r="BW49" s="276"/>
      <c r="BX49" s="276"/>
      <c r="BY49" s="417">
        <f t="shared" si="32"/>
        <v>22</v>
      </c>
      <c r="BZ49" s="344">
        <f t="shared" si="33"/>
        <v>0</v>
      </c>
      <c r="CA49" s="344">
        <f t="shared" si="34"/>
        <v>0</v>
      </c>
      <c r="CB49" s="345" t="str">
        <f t="shared" si="35"/>
        <v/>
      </c>
      <c r="CC49" s="346" t="str">
        <f>IF(AQ49,IF(ISNUMBER(#REF!),MAX('Adjustment factors'!$S$16,0.2+0.8*#REF!),IF(ISTEXT(J49),VLOOKUP(J49,Afactors,2,FALSE),"")),"")</f>
        <v/>
      </c>
      <c r="CD49" s="347" t="str">
        <f t="shared" si="36"/>
        <v/>
      </c>
      <c r="CE49" s="280"/>
      <c r="CF49" s="280"/>
      <c r="CG49" s="280"/>
      <c r="CH49" s="280"/>
      <c r="CI49" s="276"/>
      <c r="CJ49" s="276"/>
      <c r="CK49" s="276"/>
      <c r="CL49" s="276"/>
      <c r="CM49" s="276"/>
      <c r="CN49" s="276"/>
      <c r="CO49" s="276"/>
      <c r="CP49" s="276"/>
      <c r="CQ49" s="276"/>
      <c r="CR49" s="276"/>
      <c r="CS49" s="276"/>
      <c r="CU49" s="142" t="str">
        <f t="shared" si="37"/>
        <v>OK</v>
      </c>
      <c r="CV49" s="142" t="str">
        <f t="shared" si="38"/>
        <v>OK</v>
      </c>
      <c r="CW49" s="142" t="str">
        <f t="shared" si="39"/>
        <v>OK</v>
      </c>
      <c r="CX49" s="142" t="str">
        <f t="shared" si="40"/>
        <v>OK</v>
      </c>
      <c r="CY49" s="143" t="str">
        <f t="shared" si="41"/>
        <v>OK</v>
      </c>
      <c r="CZ49" s="132" t="str">
        <f t="shared" si="42"/>
        <v>OK</v>
      </c>
      <c r="DA49" s="132" t="str">
        <f t="shared" si="43"/>
        <v>OK</v>
      </c>
      <c r="DB49" s="132" t="str">
        <f t="shared" si="44"/>
        <v>OK</v>
      </c>
      <c r="DC49" s="132" t="str">
        <f>IF(AND(ISNUMBER(#REF!),J49&lt;&gt;FixedDim),"Select fixed dimming with an illuminance factor","OK")</f>
        <v>OK</v>
      </c>
      <c r="DD49" s="132" t="str">
        <f>IF(AND(NOT(ISNUMBER(#REF!)),J49=FixedDim),"Enter an illuminance factor","OK")</f>
        <v>OK</v>
      </c>
      <c r="DE49" s="132" t="str">
        <f t="shared" si="68"/>
        <v>OK</v>
      </c>
      <c r="DF49" s="267" t="str">
        <f t="shared" si="45"/>
        <v>OK</v>
      </c>
      <c r="DG49" s="267" t="str">
        <f t="shared" si="46"/>
        <v>OK</v>
      </c>
      <c r="DH49" s="267" t="str">
        <f t="shared" si="47"/>
        <v>OK</v>
      </c>
      <c r="DI49" s="143" t="str">
        <f t="shared" si="48"/>
        <v>OK</v>
      </c>
      <c r="DJ49" s="134">
        <f t="shared" si="49"/>
        <v>0</v>
      </c>
      <c r="DK49" s="133" t="str">
        <f t="shared" si="50"/>
        <v>OK</v>
      </c>
    </row>
    <row r="50" spans="1:115" ht="17.649999999999999" hidden="1" x14ac:dyDescent="0.5">
      <c r="A50" s="197"/>
      <c r="B50" s="416" t="str">
        <f t="shared" si="0"/>
        <v>-</v>
      </c>
      <c r="C50" s="342">
        <v>23</v>
      </c>
      <c r="D50" s="420"/>
      <c r="E50" s="421"/>
      <c r="F50" s="422"/>
      <c r="G50" s="423"/>
      <c r="H50" s="530"/>
      <c r="I50" s="530"/>
      <c r="J50" s="424"/>
      <c r="K50" s="428"/>
      <c r="L50" s="428"/>
      <c r="M50" s="429"/>
      <c r="N50" s="418" t="str">
        <f t="shared" si="1"/>
        <v/>
      </c>
      <c r="O50" s="418" t="str">
        <f t="shared" si="51"/>
        <v/>
      </c>
      <c r="P50" s="419" t="str">
        <f t="shared" si="2"/>
        <v/>
      </c>
      <c r="Q50" s="343"/>
      <c r="R50" s="67" t="str">
        <f t="shared" si="3"/>
        <v/>
      </c>
      <c r="S50" s="20" t="b">
        <f t="shared" si="4"/>
        <v>0</v>
      </c>
      <c r="T50" s="19" t="str">
        <f t="shared" si="52"/>
        <v/>
      </c>
      <c r="U50" s="19" t="str">
        <f t="shared" si="5"/>
        <v/>
      </c>
      <c r="V50" s="179">
        <f t="shared" si="6"/>
        <v>0</v>
      </c>
      <c r="W50" s="180">
        <f t="shared" si="53"/>
        <v>0</v>
      </c>
      <c r="X50" s="180">
        <f t="shared" si="54"/>
        <v>0</v>
      </c>
      <c r="Y50" s="180">
        <f t="shared" si="7"/>
        <v>0</v>
      </c>
      <c r="Z50" s="181">
        <f t="shared" si="55"/>
        <v>0</v>
      </c>
      <c r="AA50" s="179">
        <f t="shared" si="8"/>
        <v>0</v>
      </c>
      <c r="AB50" s="180">
        <f t="shared" si="56"/>
        <v>0</v>
      </c>
      <c r="AC50" s="180">
        <f t="shared" si="57"/>
        <v>0</v>
      </c>
      <c r="AD50" s="180">
        <f t="shared" si="58"/>
        <v>0</v>
      </c>
      <c r="AE50" s="181">
        <f t="shared" si="59"/>
        <v>0</v>
      </c>
      <c r="AF50" s="179">
        <f t="shared" si="9"/>
        <v>0</v>
      </c>
      <c r="AG50" s="180">
        <f t="shared" si="60"/>
        <v>0</v>
      </c>
      <c r="AH50" s="180">
        <f t="shared" si="61"/>
        <v>0</v>
      </c>
      <c r="AI50" s="180">
        <f t="shared" si="62"/>
        <v>0</v>
      </c>
      <c r="AJ50" s="181">
        <f t="shared" si="63"/>
        <v>0</v>
      </c>
      <c r="AK50" s="184" t="b">
        <f t="shared" si="10"/>
        <v>1</v>
      </c>
      <c r="AL50" s="265" t="b">
        <f t="shared" si="11"/>
        <v>1</v>
      </c>
      <c r="AM50" s="21" t="str">
        <f t="shared" si="12"/>
        <v/>
      </c>
      <c r="AN50" s="21" t="b">
        <f t="shared" si="13"/>
        <v>0</v>
      </c>
      <c r="AO50" s="186" t="b">
        <f>IF(OR(COUNTBLANK(D50:I50)=6,AND(COUNTBLANK(D50:G50)=4,H50=0)),OR(AN51:AN$67),NOT(AN50))</f>
        <v>0</v>
      </c>
      <c r="AP50" s="21" t="b">
        <f t="shared" si="14"/>
        <v>1</v>
      </c>
      <c r="AQ50" s="21" t="b">
        <f t="shared" si="64"/>
        <v>1</v>
      </c>
      <c r="AR50" s="22">
        <f t="shared" si="15"/>
        <v>0</v>
      </c>
      <c r="AS50" s="22" t="str">
        <f t="shared" si="16"/>
        <v/>
      </c>
      <c r="AT50" s="199" t="str">
        <f t="shared" si="65"/>
        <v/>
      </c>
      <c r="AU50" s="200" t="str">
        <f t="shared" si="17"/>
        <v/>
      </c>
      <c r="AV50" s="68" t="str">
        <f t="shared" si="18"/>
        <v/>
      </c>
      <c r="AW50" s="169"/>
      <c r="AX50" s="68" t="str">
        <f t="shared" si="66"/>
        <v/>
      </c>
      <c r="AY50" s="476"/>
      <c r="AZ50" s="476"/>
      <c r="BA50" s="189" t="b">
        <f t="shared" ca="1" si="19"/>
        <v>0</v>
      </c>
      <c r="BB50" s="190" t="b">
        <f t="shared" ca="1" si="20"/>
        <v>0</v>
      </c>
      <c r="BC50" s="191" t="b">
        <f t="shared" ca="1" si="21"/>
        <v>0</v>
      </c>
      <c r="BD50" s="189" t="b">
        <f t="shared" ca="1" si="22"/>
        <v>0</v>
      </c>
      <c r="BE50" s="189" t="b">
        <f t="shared" ca="1" si="23"/>
        <v>0</v>
      </c>
      <c r="BF50" s="190" t="b">
        <f t="shared" ca="1" si="24"/>
        <v>0</v>
      </c>
      <c r="BG50" s="191" t="b">
        <f t="shared" ca="1" si="25"/>
        <v>0</v>
      </c>
      <c r="BH50" s="189" t="b">
        <f t="shared" ca="1" si="26"/>
        <v>0</v>
      </c>
      <c r="BI50" s="190" t="b">
        <f t="shared" si="67"/>
        <v>0</v>
      </c>
      <c r="BJ50" s="192" t="b">
        <f t="shared" si="27"/>
        <v>0</v>
      </c>
      <c r="BK50" s="193" t="b">
        <f t="shared" si="28"/>
        <v>0</v>
      </c>
      <c r="BL50" s="176" t="str">
        <f t="shared" si="29"/>
        <v/>
      </c>
      <c r="BN50" s="142" t="str">
        <f t="shared" si="30"/>
        <v>no data</v>
      </c>
      <c r="BP50" s="51">
        <v>23</v>
      </c>
      <c r="BQ50" s="51" t="str">
        <f t="shared" si="31"/>
        <v>-</v>
      </c>
      <c r="BS50"/>
      <c r="BU50" s="73"/>
      <c r="BV50" s="27"/>
      <c r="BW50" s="276"/>
      <c r="BX50" s="276"/>
      <c r="BY50" s="417">
        <f t="shared" si="32"/>
        <v>23</v>
      </c>
      <c r="BZ50" s="344">
        <f t="shared" si="33"/>
        <v>0</v>
      </c>
      <c r="CA50" s="344">
        <f t="shared" si="34"/>
        <v>0</v>
      </c>
      <c r="CB50" s="345" t="str">
        <f t="shared" si="35"/>
        <v/>
      </c>
      <c r="CC50" s="346" t="str">
        <f>IF(AQ50,IF(ISNUMBER(#REF!),MAX('Adjustment factors'!$S$16,0.2+0.8*#REF!),IF(ISTEXT(J50),VLOOKUP(J50,Afactors,2,FALSE),"")),"")</f>
        <v/>
      </c>
      <c r="CD50" s="347" t="str">
        <f t="shared" si="36"/>
        <v/>
      </c>
      <c r="CE50" s="280"/>
      <c r="CF50" s="280"/>
      <c r="CG50" s="280"/>
      <c r="CH50" s="280"/>
      <c r="CI50" s="276"/>
      <c r="CJ50" s="276"/>
      <c r="CK50" s="276"/>
      <c r="CL50" s="276"/>
      <c r="CM50" s="276"/>
      <c r="CN50" s="276"/>
      <c r="CO50" s="276"/>
      <c r="CP50" s="276"/>
      <c r="CQ50" s="276"/>
      <c r="CR50" s="276"/>
      <c r="CS50" s="276"/>
      <c r="CU50" s="142" t="str">
        <f t="shared" si="37"/>
        <v>OK</v>
      </c>
      <c r="CV50" s="142" t="str">
        <f t="shared" si="38"/>
        <v>OK</v>
      </c>
      <c r="CW50" s="142" t="str">
        <f t="shared" si="39"/>
        <v>OK</v>
      </c>
      <c r="CX50" s="142" t="str">
        <f t="shared" si="40"/>
        <v>OK</v>
      </c>
      <c r="CY50" s="143" t="str">
        <f t="shared" si="41"/>
        <v>OK</v>
      </c>
      <c r="CZ50" s="132" t="str">
        <f t="shared" si="42"/>
        <v>OK</v>
      </c>
      <c r="DA50" s="132" t="str">
        <f t="shared" si="43"/>
        <v>OK</v>
      </c>
      <c r="DB50" s="132" t="str">
        <f t="shared" si="44"/>
        <v>OK</v>
      </c>
      <c r="DC50" s="132" t="str">
        <f>IF(AND(ISNUMBER(#REF!),J50&lt;&gt;FixedDim),"Select fixed dimming with an illuminance factor","OK")</f>
        <v>OK</v>
      </c>
      <c r="DD50" s="132" t="str">
        <f>IF(AND(NOT(ISNUMBER(#REF!)),J50=FixedDim),"Enter an illuminance factor","OK")</f>
        <v>OK</v>
      </c>
      <c r="DE50" s="132" t="str">
        <f t="shared" si="68"/>
        <v>OK</v>
      </c>
      <c r="DF50" s="267" t="str">
        <f t="shared" si="45"/>
        <v>OK</v>
      </c>
      <c r="DG50" s="267" t="str">
        <f t="shared" si="46"/>
        <v>OK</v>
      </c>
      <c r="DH50" s="267" t="str">
        <f t="shared" si="47"/>
        <v>OK</v>
      </c>
      <c r="DI50" s="143" t="str">
        <f t="shared" si="48"/>
        <v>OK</v>
      </c>
      <c r="DJ50" s="134">
        <f t="shared" si="49"/>
        <v>0</v>
      </c>
      <c r="DK50" s="133" t="str">
        <f t="shared" si="50"/>
        <v>OK</v>
      </c>
    </row>
    <row r="51" spans="1:115" ht="17.649999999999999" hidden="1" x14ac:dyDescent="0.5">
      <c r="A51" s="197"/>
      <c r="B51" s="416" t="str">
        <f t="shared" si="0"/>
        <v>-</v>
      </c>
      <c r="C51" s="342">
        <v>24</v>
      </c>
      <c r="D51" s="420"/>
      <c r="E51" s="421"/>
      <c r="F51" s="422"/>
      <c r="G51" s="423"/>
      <c r="H51" s="530"/>
      <c r="I51" s="530"/>
      <c r="J51" s="424"/>
      <c r="K51" s="428"/>
      <c r="L51" s="428"/>
      <c r="M51" s="429"/>
      <c r="N51" s="418" t="str">
        <f t="shared" si="1"/>
        <v/>
      </c>
      <c r="O51" s="418" t="str">
        <f t="shared" si="51"/>
        <v/>
      </c>
      <c r="P51" s="419" t="str">
        <f t="shared" si="2"/>
        <v/>
      </c>
      <c r="Q51" s="343"/>
      <c r="R51" s="67" t="str">
        <f t="shared" si="3"/>
        <v/>
      </c>
      <c r="S51" s="20" t="b">
        <f t="shared" si="4"/>
        <v>0</v>
      </c>
      <c r="T51" s="19" t="str">
        <f t="shared" si="52"/>
        <v/>
      </c>
      <c r="U51" s="19" t="str">
        <f t="shared" si="5"/>
        <v/>
      </c>
      <c r="V51" s="179">
        <f t="shared" si="6"/>
        <v>0</v>
      </c>
      <c r="W51" s="180">
        <f t="shared" si="53"/>
        <v>0</v>
      </c>
      <c r="X51" s="180">
        <f t="shared" si="54"/>
        <v>0</v>
      </c>
      <c r="Y51" s="180">
        <f t="shared" si="7"/>
        <v>0</v>
      </c>
      <c r="Z51" s="181">
        <f t="shared" si="55"/>
        <v>0</v>
      </c>
      <c r="AA51" s="179">
        <f t="shared" si="8"/>
        <v>0</v>
      </c>
      <c r="AB51" s="180">
        <f t="shared" si="56"/>
        <v>0</v>
      </c>
      <c r="AC51" s="180">
        <f t="shared" si="57"/>
        <v>0</v>
      </c>
      <c r="AD51" s="180">
        <f t="shared" si="58"/>
        <v>0</v>
      </c>
      <c r="AE51" s="181">
        <f t="shared" si="59"/>
        <v>0</v>
      </c>
      <c r="AF51" s="179">
        <f t="shared" si="9"/>
        <v>0</v>
      </c>
      <c r="AG51" s="180">
        <f t="shared" si="60"/>
        <v>0</v>
      </c>
      <c r="AH51" s="180">
        <f t="shared" si="61"/>
        <v>0</v>
      </c>
      <c r="AI51" s="180">
        <f t="shared" si="62"/>
        <v>0</v>
      </c>
      <c r="AJ51" s="181">
        <f t="shared" si="63"/>
        <v>0</v>
      </c>
      <c r="AK51" s="184" t="b">
        <f t="shared" si="10"/>
        <v>1</v>
      </c>
      <c r="AL51" s="265" t="b">
        <f t="shared" si="11"/>
        <v>1</v>
      </c>
      <c r="AM51" s="21" t="str">
        <f t="shared" si="12"/>
        <v/>
      </c>
      <c r="AN51" s="21" t="b">
        <f t="shared" si="13"/>
        <v>0</v>
      </c>
      <c r="AO51" s="186" t="b">
        <f>IF(OR(COUNTBLANK(D51:I51)=6,AND(COUNTBLANK(D51:G51)=4,H51=0)),OR(AN52:AN$67),NOT(AN51))</f>
        <v>0</v>
      </c>
      <c r="AP51" s="21" t="b">
        <f t="shared" si="14"/>
        <v>1</v>
      </c>
      <c r="AQ51" s="21" t="b">
        <f t="shared" si="64"/>
        <v>1</v>
      </c>
      <c r="AR51" s="22">
        <f t="shared" si="15"/>
        <v>0</v>
      </c>
      <c r="AS51" s="22" t="str">
        <f t="shared" si="16"/>
        <v/>
      </c>
      <c r="AT51" s="199" t="str">
        <f t="shared" si="65"/>
        <v/>
      </c>
      <c r="AU51" s="200" t="str">
        <f t="shared" si="17"/>
        <v/>
      </c>
      <c r="AV51" s="68" t="str">
        <f t="shared" si="18"/>
        <v/>
      </c>
      <c r="AW51" s="169"/>
      <c r="AX51" s="68" t="str">
        <f t="shared" si="66"/>
        <v/>
      </c>
      <c r="AY51" s="476"/>
      <c r="AZ51" s="476"/>
      <c r="BA51" s="189" t="b">
        <f t="shared" ca="1" si="19"/>
        <v>0</v>
      </c>
      <c r="BB51" s="190" t="b">
        <f t="shared" ca="1" si="20"/>
        <v>0</v>
      </c>
      <c r="BC51" s="191" t="b">
        <f t="shared" ca="1" si="21"/>
        <v>0</v>
      </c>
      <c r="BD51" s="189" t="b">
        <f t="shared" ca="1" si="22"/>
        <v>0</v>
      </c>
      <c r="BE51" s="189" t="b">
        <f t="shared" ca="1" si="23"/>
        <v>0</v>
      </c>
      <c r="BF51" s="190" t="b">
        <f t="shared" ca="1" si="24"/>
        <v>0</v>
      </c>
      <c r="BG51" s="191" t="b">
        <f t="shared" ca="1" si="25"/>
        <v>0</v>
      </c>
      <c r="BH51" s="189" t="b">
        <f t="shared" ca="1" si="26"/>
        <v>0</v>
      </c>
      <c r="BI51" s="190" t="b">
        <f t="shared" si="67"/>
        <v>0</v>
      </c>
      <c r="BJ51" s="192" t="b">
        <f t="shared" si="27"/>
        <v>0</v>
      </c>
      <c r="BK51" s="193" t="b">
        <f t="shared" si="28"/>
        <v>0</v>
      </c>
      <c r="BL51" s="176" t="str">
        <f t="shared" si="29"/>
        <v/>
      </c>
      <c r="BN51" s="142" t="str">
        <f t="shared" si="30"/>
        <v>no data</v>
      </c>
      <c r="BP51" s="51">
        <v>24</v>
      </c>
      <c r="BQ51" s="51" t="str">
        <f t="shared" si="31"/>
        <v>-</v>
      </c>
      <c r="BS51"/>
      <c r="BU51" s="73"/>
      <c r="BV51" s="27"/>
      <c r="BW51" s="276"/>
      <c r="BX51" s="276"/>
      <c r="BY51" s="417">
        <f t="shared" si="32"/>
        <v>24</v>
      </c>
      <c r="BZ51" s="344">
        <f t="shared" si="33"/>
        <v>0</v>
      </c>
      <c r="CA51" s="344">
        <f t="shared" si="34"/>
        <v>0</v>
      </c>
      <c r="CB51" s="345" t="str">
        <f t="shared" si="35"/>
        <v/>
      </c>
      <c r="CC51" s="346" t="str">
        <f>IF(AQ51,IF(ISNUMBER(#REF!),MAX('Adjustment factors'!$S$16,0.2+0.8*#REF!),IF(ISTEXT(J51),VLOOKUP(J51,Afactors,2,FALSE),"")),"")</f>
        <v/>
      </c>
      <c r="CD51" s="347" t="str">
        <f t="shared" si="36"/>
        <v/>
      </c>
      <c r="CE51" s="280"/>
      <c r="CF51" s="280"/>
      <c r="CG51" s="280"/>
      <c r="CH51" s="280"/>
      <c r="CI51" s="276"/>
      <c r="CJ51" s="276"/>
      <c r="CK51" s="276"/>
      <c r="CL51" s="276"/>
      <c r="CM51" s="276"/>
      <c r="CN51" s="276"/>
      <c r="CO51" s="276"/>
      <c r="CP51" s="276"/>
      <c r="CQ51" s="276"/>
      <c r="CR51" s="276"/>
      <c r="CS51" s="276"/>
      <c r="CU51" s="142" t="str">
        <f t="shared" si="37"/>
        <v>OK</v>
      </c>
      <c r="CV51" s="142" t="str">
        <f t="shared" si="38"/>
        <v>OK</v>
      </c>
      <c r="CW51" s="142" t="str">
        <f t="shared" si="39"/>
        <v>OK</v>
      </c>
      <c r="CX51" s="142" t="str">
        <f t="shared" si="40"/>
        <v>OK</v>
      </c>
      <c r="CY51" s="143" t="str">
        <f t="shared" si="41"/>
        <v>OK</v>
      </c>
      <c r="CZ51" s="132" t="str">
        <f t="shared" si="42"/>
        <v>OK</v>
      </c>
      <c r="DA51" s="132" t="str">
        <f t="shared" si="43"/>
        <v>OK</v>
      </c>
      <c r="DB51" s="132" t="str">
        <f t="shared" si="44"/>
        <v>OK</v>
      </c>
      <c r="DC51" s="132" t="str">
        <f>IF(AND(ISNUMBER(#REF!),J51&lt;&gt;FixedDim),"Select fixed dimming with an illuminance factor","OK")</f>
        <v>OK</v>
      </c>
      <c r="DD51" s="132" t="str">
        <f>IF(AND(NOT(ISNUMBER(#REF!)),J51=FixedDim),"Enter an illuminance factor","OK")</f>
        <v>OK</v>
      </c>
      <c r="DE51" s="132" t="str">
        <f t="shared" si="68"/>
        <v>OK</v>
      </c>
      <c r="DF51" s="267" t="str">
        <f t="shared" si="45"/>
        <v>OK</v>
      </c>
      <c r="DG51" s="267" t="str">
        <f t="shared" si="46"/>
        <v>OK</v>
      </c>
      <c r="DH51" s="267" t="str">
        <f t="shared" si="47"/>
        <v>OK</v>
      </c>
      <c r="DI51" s="143" t="str">
        <f t="shared" si="48"/>
        <v>OK</v>
      </c>
      <c r="DJ51" s="134">
        <f t="shared" si="49"/>
        <v>0</v>
      </c>
      <c r="DK51" s="133" t="str">
        <f t="shared" si="50"/>
        <v>OK</v>
      </c>
    </row>
    <row r="52" spans="1:115" ht="17.649999999999999" hidden="1" x14ac:dyDescent="0.5">
      <c r="A52" s="197"/>
      <c r="B52" s="416" t="str">
        <f t="shared" si="0"/>
        <v>-</v>
      </c>
      <c r="C52" s="342">
        <v>25</v>
      </c>
      <c r="D52" s="420"/>
      <c r="E52" s="421"/>
      <c r="F52" s="422"/>
      <c r="G52" s="423"/>
      <c r="H52" s="530"/>
      <c r="I52" s="530"/>
      <c r="J52" s="424"/>
      <c r="K52" s="428"/>
      <c r="L52" s="428"/>
      <c r="M52" s="429"/>
      <c r="N52" s="418" t="str">
        <f t="shared" si="1"/>
        <v/>
      </c>
      <c r="O52" s="418" t="str">
        <f t="shared" si="51"/>
        <v/>
      </c>
      <c r="P52" s="419" t="str">
        <f t="shared" si="2"/>
        <v/>
      </c>
      <c r="Q52" s="343"/>
      <c r="R52" s="67" t="str">
        <f t="shared" si="3"/>
        <v/>
      </c>
      <c r="S52" s="20" t="b">
        <f t="shared" si="4"/>
        <v>0</v>
      </c>
      <c r="T52" s="19" t="str">
        <f t="shared" si="52"/>
        <v/>
      </c>
      <c r="U52" s="19" t="str">
        <f t="shared" si="5"/>
        <v/>
      </c>
      <c r="V52" s="179">
        <f t="shared" si="6"/>
        <v>0</v>
      </c>
      <c r="W52" s="180">
        <f t="shared" si="53"/>
        <v>0</v>
      </c>
      <c r="X52" s="180">
        <f t="shared" si="54"/>
        <v>0</v>
      </c>
      <c r="Y52" s="180">
        <f t="shared" si="7"/>
        <v>0</v>
      </c>
      <c r="Z52" s="181">
        <f t="shared" si="55"/>
        <v>0</v>
      </c>
      <c r="AA52" s="179">
        <f t="shared" si="8"/>
        <v>0</v>
      </c>
      <c r="AB52" s="180">
        <f t="shared" si="56"/>
        <v>0</v>
      </c>
      <c r="AC52" s="180">
        <f t="shared" si="57"/>
        <v>0</v>
      </c>
      <c r="AD52" s="180">
        <f t="shared" si="58"/>
        <v>0</v>
      </c>
      <c r="AE52" s="181">
        <f t="shared" si="59"/>
        <v>0</v>
      </c>
      <c r="AF52" s="179">
        <f t="shared" si="9"/>
        <v>0</v>
      </c>
      <c r="AG52" s="180">
        <f t="shared" si="60"/>
        <v>0</v>
      </c>
      <c r="AH52" s="180">
        <f t="shared" si="61"/>
        <v>0</v>
      </c>
      <c r="AI52" s="180">
        <f t="shared" si="62"/>
        <v>0</v>
      </c>
      <c r="AJ52" s="181">
        <f t="shared" si="63"/>
        <v>0</v>
      </c>
      <c r="AK52" s="184" t="b">
        <f t="shared" si="10"/>
        <v>1</v>
      </c>
      <c r="AL52" s="265" t="b">
        <f t="shared" si="11"/>
        <v>1</v>
      </c>
      <c r="AM52" s="21" t="str">
        <f t="shared" si="12"/>
        <v/>
      </c>
      <c r="AN52" s="21" t="b">
        <f t="shared" si="13"/>
        <v>0</v>
      </c>
      <c r="AO52" s="186" t="b">
        <f>IF(OR(COUNTBLANK(D52:I52)=6,AND(COUNTBLANK(D52:G52)=4,H52=0)),OR(AN53:AN$67),NOT(AN52))</f>
        <v>0</v>
      </c>
      <c r="AP52" s="21" t="b">
        <f t="shared" si="14"/>
        <v>1</v>
      </c>
      <c r="AQ52" s="21" t="b">
        <f t="shared" si="64"/>
        <v>1</v>
      </c>
      <c r="AR52" s="22">
        <f t="shared" si="15"/>
        <v>0</v>
      </c>
      <c r="AS52" s="22" t="str">
        <f t="shared" si="16"/>
        <v/>
      </c>
      <c r="AT52" s="199" t="str">
        <f t="shared" si="65"/>
        <v/>
      </c>
      <c r="AU52" s="200" t="str">
        <f t="shared" si="17"/>
        <v/>
      </c>
      <c r="AV52" s="68" t="str">
        <f t="shared" si="18"/>
        <v/>
      </c>
      <c r="AW52" s="169"/>
      <c r="AX52" s="68" t="str">
        <f t="shared" si="66"/>
        <v/>
      </c>
      <c r="AY52" s="476"/>
      <c r="AZ52" s="476"/>
      <c r="BA52" s="189" t="b">
        <f t="shared" ca="1" si="19"/>
        <v>0</v>
      </c>
      <c r="BB52" s="190" t="b">
        <f t="shared" ca="1" si="20"/>
        <v>0</v>
      </c>
      <c r="BC52" s="191" t="b">
        <f t="shared" ca="1" si="21"/>
        <v>0</v>
      </c>
      <c r="BD52" s="189" t="b">
        <f t="shared" ca="1" si="22"/>
        <v>0</v>
      </c>
      <c r="BE52" s="189" t="b">
        <f t="shared" ca="1" si="23"/>
        <v>0</v>
      </c>
      <c r="BF52" s="190" t="b">
        <f t="shared" ca="1" si="24"/>
        <v>0</v>
      </c>
      <c r="BG52" s="191" t="b">
        <f t="shared" ca="1" si="25"/>
        <v>0</v>
      </c>
      <c r="BH52" s="189" t="b">
        <f t="shared" ca="1" si="26"/>
        <v>0</v>
      </c>
      <c r="BI52" s="190" t="b">
        <f t="shared" si="67"/>
        <v>0</v>
      </c>
      <c r="BJ52" s="192" t="b">
        <f t="shared" si="27"/>
        <v>0</v>
      </c>
      <c r="BK52" s="193" t="b">
        <f t="shared" si="28"/>
        <v>0</v>
      </c>
      <c r="BL52" s="176" t="str">
        <f t="shared" si="29"/>
        <v/>
      </c>
      <c r="BN52" s="142" t="str">
        <f t="shared" si="30"/>
        <v>no data</v>
      </c>
      <c r="BP52" s="51">
        <v>25</v>
      </c>
      <c r="BQ52" s="51" t="str">
        <f t="shared" si="31"/>
        <v>-</v>
      </c>
      <c r="BS52"/>
      <c r="BU52" s="73"/>
      <c r="BV52" s="27"/>
      <c r="BW52" s="276"/>
      <c r="BX52" s="276"/>
      <c r="BY52" s="417">
        <f t="shared" si="32"/>
        <v>25</v>
      </c>
      <c r="BZ52" s="344">
        <f t="shared" si="33"/>
        <v>0</v>
      </c>
      <c r="CA52" s="344">
        <f t="shared" si="34"/>
        <v>0</v>
      </c>
      <c r="CB52" s="345" t="str">
        <f t="shared" si="35"/>
        <v/>
      </c>
      <c r="CC52" s="346" t="str">
        <f>IF(AQ52,IF(ISNUMBER(#REF!),MAX('Adjustment factors'!$S$16,0.2+0.8*#REF!),IF(ISTEXT(J52),VLOOKUP(J52,Afactors,2,FALSE),"")),"")</f>
        <v/>
      </c>
      <c r="CD52" s="347" t="str">
        <f t="shared" si="36"/>
        <v/>
      </c>
      <c r="CE52" s="280"/>
      <c r="CF52" s="280"/>
      <c r="CG52" s="280"/>
      <c r="CH52" s="280"/>
      <c r="CI52" s="276"/>
      <c r="CJ52" s="276"/>
      <c r="CK52" s="276"/>
      <c r="CL52" s="276"/>
      <c r="CM52" s="276"/>
      <c r="CN52" s="276"/>
      <c r="CO52" s="276"/>
      <c r="CP52" s="276"/>
      <c r="CQ52" s="276"/>
      <c r="CR52" s="276"/>
      <c r="CS52" s="276"/>
      <c r="CU52" s="142" t="str">
        <f t="shared" si="37"/>
        <v>OK</v>
      </c>
      <c r="CV52" s="142" t="str">
        <f t="shared" si="38"/>
        <v>OK</v>
      </c>
      <c r="CW52" s="142" t="str">
        <f t="shared" si="39"/>
        <v>OK</v>
      </c>
      <c r="CX52" s="142" t="str">
        <f t="shared" si="40"/>
        <v>OK</v>
      </c>
      <c r="CY52" s="143" t="str">
        <f t="shared" si="41"/>
        <v>OK</v>
      </c>
      <c r="CZ52" s="132" t="str">
        <f t="shared" si="42"/>
        <v>OK</v>
      </c>
      <c r="DA52" s="132" t="str">
        <f t="shared" si="43"/>
        <v>OK</v>
      </c>
      <c r="DB52" s="132" t="str">
        <f t="shared" si="44"/>
        <v>OK</v>
      </c>
      <c r="DC52" s="132" t="str">
        <f>IF(AND(ISNUMBER(#REF!),J52&lt;&gt;FixedDim),"Select fixed dimming with an illuminance factor","OK")</f>
        <v>OK</v>
      </c>
      <c r="DD52" s="132" t="str">
        <f>IF(AND(NOT(ISNUMBER(#REF!)),J52=FixedDim),"Enter an illuminance factor","OK")</f>
        <v>OK</v>
      </c>
      <c r="DE52" s="132" t="str">
        <f t="shared" si="68"/>
        <v>OK</v>
      </c>
      <c r="DF52" s="267" t="str">
        <f t="shared" si="45"/>
        <v>OK</v>
      </c>
      <c r="DG52" s="267" t="str">
        <f t="shared" si="46"/>
        <v>OK</v>
      </c>
      <c r="DH52" s="267" t="str">
        <f t="shared" si="47"/>
        <v>OK</v>
      </c>
      <c r="DI52" s="143" t="str">
        <f t="shared" si="48"/>
        <v>OK</v>
      </c>
      <c r="DJ52" s="134">
        <f t="shared" si="49"/>
        <v>0</v>
      </c>
      <c r="DK52" s="133" t="str">
        <f t="shared" si="50"/>
        <v>OK</v>
      </c>
    </row>
    <row r="53" spans="1:115" ht="17.649999999999999" hidden="1" x14ac:dyDescent="0.5">
      <c r="A53" s="197"/>
      <c r="B53" s="416" t="str">
        <f t="shared" si="0"/>
        <v>-</v>
      </c>
      <c r="C53" s="342">
        <v>26</v>
      </c>
      <c r="D53" s="420"/>
      <c r="E53" s="421"/>
      <c r="F53" s="422"/>
      <c r="G53" s="423"/>
      <c r="H53" s="530"/>
      <c r="I53" s="530"/>
      <c r="J53" s="424"/>
      <c r="K53" s="428"/>
      <c r="L53" s="428"/>
      <c r="M53" s="429"/>
      <c r="N53" s="418" t="str">
        <f t="shared" si="1"/>
        <v/>
      </c>
      <c r="O53" s="418" t="str">
        <f t="shared" si="51"/>
        <v/>
      </c>
      <c r="P53" s="419" t="str">
        <f t="shared" si="2"/>
        <v/>
      </c>
      <c r="Q53" s="343"/>
      <c r="R53" s="67" t="str">
        <f t="shared" si="3"/>
        <v/>
      </c>
      <c r="S53" s="20" t="b">
        <f t="shared" si="4"/>
        <v>0</v>
      </c>
      <c r="T53" s="19" t="str">
        <f t="shared" si="52"/>
        <v/>
      </c>
      <c r="U53" s="19" t="str">
        <f t="shared" si="5"/>
        <v/>
      </c>
      <c r="V53" s="179">
        <f t="shared" si="6"/>
        <v>0</v>
      </c>
      <c r="W53" s="180">
        <f t="shared" si="53"/>
        <v>0</v>
      </c>
      <c r="X53" s="180">
        <f t="shared" si="54"/>
        <v>0</v>
      </c>
      <c r="Y53" s="180">
        <f t="shared" si="7"/>
        <v>0</v>
      </c>
      <c r="Z53" s="181">
        <f t="shared" si="55"/>
        <v>0</v>
      </c>
      <c r="AA53" s="179">
        <f t="shared" si="8"/>
        <v>0</v>
      </c>
      <c r="AB53" s="180">
        <f t="shared" si="56"/>
        <v>0</v>
      </c>
      <c r="AC53" s="180">
        <f t="shared" si="57"/>
        <v>0</v>
      </c>
      <c r="AD53" s="180">
        <f t="shared" si="58"/>
        <v>0</v>
      </c>
      <c r="AE53" s="181">
        <f t="shared" si="59"/>
        <v>0</v>
      </c>
      <c r="AF53" s="179">
        <f t="shared" si="9"/>
        <v>0</v>
      </c>
      <c r="AG53" s="180">
        <f t="shared" si="60"/>
        <v>0</v>
      </c>
      <c r="AH53" s="180">
        <f t="shared" si="61"/>
        <v>0</v>
      </c>
      <c r="AI53" s="180">
        <f t="shared" si="62"/>
        <v>0</v>
      </c>
      <c r="AJ53" s="181">
        <f t="shared" si="63"/>
        <v>0</v>
      </c>
      <c r="AK53" s="184" t="b">
        <f t="shared" si="10"/>
        <v>1</v>
      </c>
      <c r="AL53" s="265" t="b">
        <f t="shared" si="11"/>
        <v>1</v>
      </c>
      <c r="AM53" s="21" t="str">
        <f t="shared" si="12"/>
        <v/>
      </c>
      <c r="AN53" s="21" t="b">
        <f t="shared" si="13"/>
        <v>0</v>
      </c>
      <c r="AO53" s="186" t="b">
        <f>IF(OR(COUNTBLANK(D53:I53)=6,AND(COUNTBLANK(D53:G53)=4,H53=0)),OR(AN54:AN$67),NOT(AN53))</f>
        <v>0</v>
      </c>
      <c r="AP53" s="21" t="b">
        <f t="shared" si="14"/>
        <v>1</v>
      </c>
      <c r="AQ53" s="21" t="b">
        <f t="shared" si="64"/>
        <v>1</v>
      </c>
      <c r="AR53" s="22">
        <f t="shared" si="15"/>
        <v>0</v>
      </c>
      <c r="AS53" s="22" t="str">
        <f t="shared" si="16"/>
        <v/>
      </c>
      <c r="AT53" s="199" t="str">
        <f t="shared" si="65"/>
        <v/>
      </c>
      <c r="AU53" s="200" t="str">
        <f t="shared" si="17"/>
        <v/>
      </c>
      <c r="AV53" s="68" t="str">
        <f t="shared" si="18"/>
        <v/>
      </c>
      <c r="AW53" s="169"/>
      <c r="AX53" s="68" t="str">
        <f t="shared" si="66"/>
        <v/>
      </c>
      <c r="AY53" s="476"/>
      <c r="AZ53" s="476"/>
      <c r="BA53" s="189" t="b">
        <f t="shared" ca="1" si="19"/>
        <v>0</v>
      </c>
      <c r="BB53" s="190" t="b">
        <f t="shared" ca="1" si="20"/>
        <v>0</v>
      </c>
      <c r="BC53" s="191" t="b">
        <f t="shared" ca="1" si="21"/>
        <v>0</v>
      </c>
      <c r="BD53" s="189" t="b">
        <f t="shared" ca="1" si="22"/>
        <v>0</v>
      </c>
      <c r="BE53" s="189" t="b">
        <f t="shared" ca="1" si="23"/>
        <v>0</v>
      </c>
      <c r="BF53" s="190" t="b">
        <f t="shared" ca="1" si="24"/>
        <v>0</v>
      </c>
      <c r="BG53" s="191" t="b">
        <f t="shared" ca="1" si="25"/>
        <v>0</v>
      </c>
      <c r="BH53" s="189" t="b">
        <f t="shared" ca="1" si="26"/>
        <v>0</v>
      </c>
      <c r="BI53" s="190" t="b">
        <f t="shared" si="67"/>
        <v>0</v>
      </c>
      <c r="BJ53" s="192" t="b">
        <f t="shared" si="27"/>
        <v>0</v>
      </c>
      <c r="BK53" s="193" t="b">
        <f t="shared" si="28"/>
        <v>0</v>
      </c>
      <c r="BL53" s="176" t="str">
        <f t="shared" si="29"/>
        <v/>
      </c>
      <c r="BN53" s="142" t="str">
        <f t="shared" si="30"/>
        <v>no data</v>
      </c>
      <c r="BP53" s="51">
        <v>26</v>
      </c>
      <c r="BQ53" s="51" t="str">
        <f t="shared" si="31"/>
        <v>-</v>
      </c>
      <c r="BS53"/>
      <c r="BU53" s="73"/>
      <c r="BV53" s="27"/>
      <c r="BW53" s="276"/>
      <c r="BX53" s="276"/>
      <c r="BY53" s="417">
        <f t="shared" si="32"/>
        <v>26</v>
      </c>
      <c r="BZ53" s="344">
        <f t="shared" si="33"/>
        <v>0</v>
      </c>
      <c r="CA53" s="344">
        <f t="shared" si="34"/>
        <v>0</v>
      </c>
      <c r="CB53" s="345" t="str">
        <f t="shared" si="35"/>
        <v/>
      </c>
      <c r="CC53" s="346" t="str">
        <f>IF(AQ53,IF(ISNUMBER(#REF!),MAX('Adjustment factors'!$S$16,0.2+0.8*#REF!),IF(ISTEXT(J53),VLOOKUP(J53,Afactors,2,FALSE),"")),"")</f>
        <v/>
      </c>
      <c r="CD53" s="347" t="str">
        <f t="shared" si="36"/>
        <v/>
      </c>
      <c r="CE53" s="280"/>
      <c r="CF53" s="280"/>
      <c r="CG53" s="280"/>
      <c r="CH53" s="280"/>
      <c r="CI53" s="276"/>
      <c r="CJ53" s="276"/>
      <c r="CK53" s="276"/>
      <c r="CL53" s="276"/>
      <c r="CM53" s="276"/>
      <c r="CN53" s="276"/>
      <c r="CO53" s="276"/>
      <c r="CP53" s="276"/>
      <c r="CQ53" s="276"/>
      <c r="CR53" s="276"/>
      <c r="CS53" s="276"/>
      <c r="CU53" s="142" t="str">
        <f t="shared" si="37"/>
        <v>OK</v>
      </c>
      <c r="CV53" s="142" t="str">
        <f t="shared" si="38"/>
        <v>OK</v>
      </c>
      <c r="CW53" s="142" t="str">
        <f t="shared" si="39"/>
        <v>OK</v>
      </c>
      <c r="CX53" s="142" t="str">
        <f t="shared" si="40"/>
        <v>OK</v>
      </c>
      <c r="CY53" s="143" t="str">
        <f t="shared" si="41"/>
        <v>OK</v>
      </c>
      <c r="CZ53" s="132" t="str">
        <f t="shared" si="42"/>
        <v>OK</v>
      </c>
      <c r="DA53" s="132" t="str">
        <f t="shared" si="43"/>
        <v>OK</v>
      </c>
      <c r="DB53" s="132" t="str">
        <f t="shared" si="44"/>
        <v>OK</v>
      </c>
      <c r="DC53" s="132" t="str">
        <f>IF(AND(ISNUMBER(#REF!),J53&lt;&gt;FixedDim),"Select fixed dimming with an illuminance factor","OK")</f>
        <v>OK</v>
      </c>
      <c r="DD53" s="132" t="str">
        <f>IF(AND(NOT(ISNUMBER(#REF!)),J53=FixedDim),"Enter an illuminance factor","OK")</f>
        <v>OK</v>
      </c>
      <c r="DE53" s="132" t="str">
        <f t="shared" si="68"/>
        <v>OK</v>
      </c>
      <c r="DF53" s="267" t="str">
        <f t="shared" si="45"/>
        <v>OK</v>
      </c>
      <c r="DG53" s="267" t="str">
        <f t="shared" si="46"/>
        <v>OK</v>
      </c>
      <c r="DH53" s="267" t="str">
        <f t="shared" si="47"/>
        <v>OK</v>
      </c>
      <c r="DI53" s="143" t="str">
        <f t="shared" si="48"/>
        <v>OK</v>
      </c>
      <c r="DJ53" s="134">
        <f t="shared" si="49"/>
        <v>0</v>
      </c>
      <c r="DK53" s="133" t="str">
        <f t="shared" si="50"/>
        <v>OK</v>
      </c>
    </row>
    <row r="54" spans="1:115" ht="17.649999999999999" hidden="1" x14ac:dyDescent="0.5">
      <c r="A54" s="197"/>
      <c r="B54" s="416" t="str">
        <f t="shared" si="0"/>
        <v>-</v>
      </c>
      <c r="C54" s="342">
        <v>27</v>
      </c>
      <c r="D54" s="420"/>
      <c r="E54" s="421"/>
      <c r="F54" s="422"/>
      <c r="G54" s="423"/>
      <c r="H54" s="530"/>
      <c r="I54" s="530"/>
      <c r="J54" s="424"/>
      <c r="K54" s="428"/>
      <c r="L54" s="428"/>
      <c r="M54" s="429"/>
      <c r="N54" s="418" t="str">
        <f t="shared" si="1"/>
        <v/>
      </c>
      <c r="O54" s="418" t="str">
        <f t="shared" si="51"/>
        <v/>
      </c>
      <c r="P54" s="419" t="str">
        <f t="shared" si="2"/>
        <v/>
      </c>
      <c r="Q54" s="343"/>
      <c r="R54" s="67" t="str">
        <f t="shared" si="3"/>
        <v/>
      </c>
      <c r="S54" s="20" t="b">
        <f t="shared" si="4"/>
        <v>0</v>
      </c>
      <c r="T54" s="19" t="str">
        <f t="shared" si="52"/>
        <v/>
      </c>
      <c r="U54" s="19" t="str">
        <f t="shared" si="5"/>
        <v/>
      </c>
      <c r="V54" s="179">
        <f t="shared" si="6"/>
        <v>0</v>
      </c>
      <c r="W54" s="180">
        <f t="shared" si="53"/>
        <v>0</v>
      </c>
      <c r="X54" s="180">
        <f t="shared" si="54"/>
        <v>0</v>
      </c>
      <c r="Y54" s="180">
        <f t="shared" si="7"/>
        <v>0</v>
      </c>
      <c r="Z54" s="181">
        <f t="shared" si="55"/>
        <v>0</v>
      </c>
      <c r="AA54" s="179">
        <f t="shared" si="8"/>
        <v>0</v>
      </c>
      <c r="AB54" s="180">
        <f t="shared" si="56"/>
        <v>0</v>
      </c>
      <c r="AC54" s="180">
        <f t="shared" si="57"/>
        <v>0</v>
      </c>
      <c r="AD54" s="180">
        <f t="shared" si="58"/>
        <v>0</v>
      </c>
      <c r="AE54" s="181">
        <f t="shared" si="59"/>
        <v>0</v>
      </c>
      <c r="AF54" s="179">
        <f t="shared" si="9"/>
        <v>0</v>
      </c>
      <c r="AG54" s="180">
        <f t="shared" si="60"/>
        <v>0</v>
      </c>
      <c r="AH54" s="180">
        <f t="shared" si="61"/>
        <v>0</v>
      </c>
      <c r="AI54" s="180">
        <f t="shared" si="62"/>
        <v>0</v>
      </c>
      <c r="AJ54" s="181">
        <f t="shared" si="63"/>
        <v>0</v>
      </c>
      <c r="AK54" s="184" t="b">
        <f t="shared" si="10"/>
        <v>1</v>
      </c>
      <c r="AL54" s="265" t="b">
        <f t="shared" si="11"/>
        <v>1</v>
      </c>
      <c r="AM54" s="21" t="str">
        <f t="shared" si="12"/>
        <v/>
      </c>
      <c r="AN54" s="21" t="b">
        <f t="shared" si="13"/>
        <v>0</v>
      </c>
      <c r="AO54" s="186" t="b">
        <f>IF(OR(COUNTBLANK(D54:I54)=6,AND(COUNTBLANK(D54:G54)=4,H54=0)),OR(AN55:AN$67),NOT(AN54))</f>
        <v>0</v>
      </c>
      <c r="AP54" s="21" t="b">
        <f t="shared" si="14"/>
        <v>1</v>
      </c>
      <c r="AQ54" s="21" t="b">
        <f t="shared" si="64"/>
        <v>1</v>
      </c>
      <c r="AR54" s="22">
        <f t="shared" si="15"/>
        <v>0</v>
      </c>
      <c r="AS54" s="22" t="str">
        <f t="shared" si="16"/>
        <v/>
      </c>
      <c r="AT54" s="199" t="str">
        <f t="shared" si="65"/>
        <v/>
      </c>
      <c r="AU54" s="200" t="str">
        <f t="shared" si="17"/>
        <v/>
      </c>
      <c r="AV54" s="68" t="str">
        <f t="shared" si="18"/>
        <v/>
      </c>
      <c r="AW54" s="169"/>
      <c r="AX54" s="68" t="str">
        <f t="shared" si="66"/>
        <v/>
      </c>
      <c r="AY54" s="476"/>
      <c r="AZ54" s="476"/>
      <c r="BA54" s="189" t="b">
        <f t="shared" ca="1" si="19"/>
        <v>0</v>
      </c>
      <c r="BB54" s="190" t="b">
        <f t="shared" ca="1" si="20"/>
        <v>0</v>
      </c>
      <c r="BC54" s="191" t="b">
        <f t="shared" ca="1" si="21"/>
        <v>0</v>
      </c>
      <c r="BD54" s="189" t="b">
        <f t="shared" ca="1" si="22"/>
        <v>0</v>
      </c>
      <c r="BE54" s="189" t="b">
        <f t="shared" ca="1" si="23"/>
        <v>0</v>
      </c>
      <c r="BF54" s="190" t="b">
        <f t="shared" ca="1" si="24"/>
        <v>0</v>
      </c>
      <c r="BG54" s="191" t="b">
        <f t="shared" ca="1" si="25"/>
        <v>0</v>
      </c>
      <c r="BH54" s="189" t="b">
        <f t="shared" ca="1" si="26"/>
        <v>0</v>
      </c>
      <c r="BI54" s="190" t="b">
        <f t="shared" si="67"/>
        <v>0</v>
      </c>
      <c r="BJ54" s="192" t="b">
        <f t="shared" si="27"/>
        <v>0</v>
      </c>
      <c r="BK54" s="193" t="b">
        <f t="shared" si="28"/>
        <v>0</v>
      </c>
      <c r="BL54" s="176" t="str">
        <f t="shared" si="29"/>
        <v/>
      </c>
      <c r="BN54" s="142" t="str">
        <f t="shared" si="30"/>
        <v>no data</v>
      </c>
      <c r="BP54" s="51">
        <v>27</v>
      </c>
      <c r="BQ54" s="51" t="str">
        <f t="shared" si="31"/>
        <v>-</v>
      </c>
      <c r="BS54"/>
      <c r="BU54" s="73"/>
      <c r="BV54" s="27"/>
      <c r="BW54" s="276"/>
      <c r="BX54" s="276"/>
      <c r="BY54" s="417">
        <f t="shared" si="32"/>
        <v>27</v>
      </c>
      <c r="BZ54" s="344">
        <f t="shared" si="33"/>
        <v>0</v>
      </c>
      <c r="CA54" s="344">
        <f t="shared" si="34"/>
        <v>0</v>
      </c>
      <c r="CB54" s="345" t="str">
        <f t="shared" si="35"/>
        <v/>
      </c>
      <c r="CC54" s="346" t="str">
        <f>IF(AQ54,IF(ISNUMBER(#REF!),MAX('Adjustment factors'!$S$16,0.2+0.8*#REF!),IF(ISTEXT(J54),VLOOKUP(J54,Afactors,2,FALSE),"")),"")</f>
        <v/>
      </c>
      <c r="CD54" s="347" t="str">
        <f t="shared" si="36"/>
        <v/>
      </c>
      <c r="CE54" s="280"/>
      <c r="CF54" s="280"/>
      <c r="CG54" s="280"/>
      <c r="CH54" s="280"/>
      <c r="CI54" s="276"/>
      <c r="CJ54" s="276"/>
      <c r="CK54" s="276"/>
      <c r="CL54" s="276"/>
      <c r="CM54" s="276"/>
      <c r="CN54" s="276"/>
      <c r="CO54" s="276"/>
      <c r="CP54" s="276"/>
      <c r="CQ54" s="276"/>
      <c r="CR54" s="276"/>
      <c r="CS54" s="276"/>
      <c r="CU54" s="142" t="str">
        <f t="shared" si="37"/>
        <v>OK</v>
      </c>
      <c r="CV54" s="142" t="str">
        <f t="shared" si="38"/>
        <v>OK</v>
      </c>
      <c r="CW54" s="142" t="str">
        <f t="shared" si="39"/>
        <v>OK</v>
      </c>
      <c r="CX54" s="142" t="str">
        <f t="shared" si="40"/>
        <v>OK</v>
      </c>
      <c r="CY54" s="143" t="str">
        <f t="shared" si="41"/>
        <v>OK</v>
      </c>
      <c r="CZ54" s="132" t="str">
        <f t="shared" si="42"/>
        <v>OK</v>
      </c>
      <c r="DA54" s="132" t="str">
        <f t="shared" si="43"/>
        <v>OK</v>
      </c>
      <c r="DB54" s="132" t="str">
        <f t="shared" si="44"/>
        <v>OK</v>
      </c>
      <c r="DC54" s="132" t="str">
        <f>IF(AND(ISNUMBER(#REF!),J54&lt;&gt;FixedDim),"Select fixed dimming with an illuminance factor","OK")</f>
        <v>OK</v>
      </c>
      <c r="DD54" s="132" t="str">
        <f>IF(AND(NOT(ISNUMBER(#REF!)),J54=FixedDim),"Enter an illuminance factor","OK")</f>
        <v>OK</v>
      </c>
      <c r="DE54" s="132" t="str">
        <f t="shared" si="68"/>
        <v>OK</v>
      </c>
      <c r="DF54" s="267" t="str">
        <f t="shared" si="45"/>
        <v>OK</v>
      </c>
      <c r="DG54" s="267" t="str">
        <f t="shared" si="46"/>
        <v>OK</v>
      </c>
      <c r="DH54" s="267" t="str">
        <f t="shared" si="47"/>
        <v>OK</v>
      </c>
      <c r="DI54" s="143" t="str">
        <f t="shared" si="48"/>
        <v>OK</v>
      </c>
      <c r="DJ54" s="134">
        <f t="shared" si="49"/>
        <v>0</v>
      </c>
      <c r="DK54" s="133" t="str">
        <f t="shared" si="50"/>
        <v>OK</v>
      </c>
    </row>
    <row r="55" spans="1:115" ht="17.649999999999999" hidden="1" x14ac:dyDescent="0.5">
      <c r="A55" s="197"/>
      <c r="B55" s="416" t="str">
        <f t="shared" si="0"/>
        <v>-</v>
      </c>
      <c r="C55" s="342">
        <v>28</v>
      </c>
      <c r="D55" s="420"/>
      <c r="E55" s="421"/>
      <c r="F55" s="422"/>
      <c r="G55" s="423"/>
      <c r="H55" s="530"/>
      <c r="I55" s="530"/>
      <c r="J55" s="424"/>
      <c r="K55" s="428"/>
      <c r="L55" s="428"/>
      <c r="M55" s="429"/>
      <c r="N55" s="418" t="str">
        <f t="shared" si="1"/>
        <v/>
      </c>
      <c r="O55" s="418" t="str">
        <f t="shared" si="51"/>
        <v/>
      </c>
      <c r="P55" s="419" t="str">
        <f t="shared" si="2"/>
        <v/>
      </c>
      <c r="Q55" s="343"/>
      <c r="R55" s="67" t="str">
        <f t="shared" si="3"/>
        <v/>
      </c>
      <c r="S55" s="20" t="b">
        <f t="shared" si="4"/>
        <v>0</v>
      </c>
      <c r="T55" s="19" t="str">
        <f t="shared" si="52"/>
        <v/>
      </c>
      <c r="U55" s="19" t="str">
        <f t="shared" si="5"/>
        <v/>
      </c>
      <c r="V55" s="179">
        <f t="shared" si="6"/>
        <v>0</v>
      </c>
      <c r="W55" s="180">
        <f t="shared" si="53"/>
        <v>0</v>
      </c>
      <c r="X55" s="180">
        <f t="shared" si="54"/>
        <v>0</v>
      </c>
      <c r="Y55" s="180">
        <f t="shared" si="7"/>
        <v>0</v>
      </c>
      <c r="Z55" s="181">
        <f t="shared" si="55"/>
        <v>0</v>
      </c>
      <c r="AA55" s="179">
        <f t="shared" si="8"/>
        <v>0</v>
      </c>
      <c r="AB55" s="180">
        <f t="shared" si="56"/>
        <v>0</v>
      </c>
      <c r="AC55" s="180">
        <f t="shared" si="57"/>
        <v>0</v>
      </c>
      <c r="AD55" s="180">
        <f t="shared" si="58"/>
        <v>0</v>
      </c>
      <c r="AE55" s="181">
        <f t="shared" si="59"/>
        <v>0</v>
      </c>
      <c r="AF55" s="179">
        <f t="shared" si="9"/>
        <v>0</v>
      </c>
      <c r="AG55" s="180">
        <f t="shared" si="60"/>
        <v>0</v>
      </c>
      <c r="AH55" s="180">
        <f t="shared" si="61"/>
        <v>0</v>
      </c>
      <c r="AI55" s="180">
        <f t="shared" si="62"/>
        <v>0</v>
      </c>
      <c r="AJ55" s="181">
        <f t="shared" si="63"/>
        <v>0</v>
      </c>
      <c r="AK55" s="184" t="b">
        <f t="shared" si="10"/>
        <v>1</v>
      </c>
      <c r="AL55" s="265" t="b">
        <f t="shared" si="11"/>
        <v>1</v>
      </c>
      <c r="AM55" s="21" t="str">
        <f t="shared" si="12"/>
        <v/>
      </c>
      <c r="AN55" s="21" t="b">
        <f t="shared" si="13"/>
        <v>0</v>
      </c>
      <c r="AO55" s="186" t="b">
        <f>IF(OR(COUNTBLANK(D55:I55)=6,AND(COUNTBLANK(D55:G55)=4,H55=0)),OR(AN56:AN$67),NOT(AN55))</f>
        <v>0</v>
      </c>
      <c r="AP55" s="21" t="b">
        <f t="shared" si="14"/>
        <v>1</v>
      </c>
      <c r="AQ55" s="21" t="b">
        <f t="shared" si="64"/>
        <v>1</v>
      </c>
      <c r="AR55" s="22">
        <f t="shared" si="15"/>
        <v>0</v>
      </c>
      <c r="AS55" s="22" t="str">
        <f t="shared" si="16"/>
        <v/>
      </c>
      <c r="AT55" s="199" t="str">
        <f t="shared" si="65"/>
        <v/>
      </c>
      <c r="AU55" s="200" t="str">
        <f t="shared" si="17"/>
        <v/>
      </c>
      <c r="AV55" s="68" t="str">
        <f t="shared" si="18"/>
        <v/>
      </c>
      <c r="AW55" s="169"/>
      <c r="AX55" s="68" t="str">
        <f t="shared" si="66"/>
        <v/>
      </c>
      <c r="AY55" s="476"/>
      <c r="AZ55" s="476"/>
      <c r="BA55" s="189" t="b">
        <f t="shared" ca="1" si="19"/>
        <v>0</v>
      </c>
      <c r="BB55" s="190" t="b">
        <f t="shared" ca="1" si="20"/>
        <v>0</v>
      </c>
      <c r="BC55" s="191" t="b">
        <f t="shared" ca="1" si="21"/>
        <v>0</v>
      </c>
      <c r="BD55" s="189" t="b">
        <f t="shared" ca="1" si="22"/>
        <v>0</v>
      </c>
      <c r="BE55" s="189" t="b">
        <f t="shared" ca="1" si="23"/>
        <v>0</v>
      </c>
      <c r="BF55" s="190" t="b">
        <f t="shared" ca="1" si="24"/>
        <v>0</v>
      </c>
      <c r="BG55" s="191" t="b">
        <f t="shared" ca="1" si="25"/>
        <v>0</v>
      </c>
      <c r="BH55" s="189" t="b">
        <f t="shared" ca="1" si="26"/>
        <v>0</v>
      </c>
      <c r="BI55" s="190" t="b">
        <f t="shared" si="67"/>
        <v>0</v>
      </c>
      <c r="BJ55" s="192" t="b">
        <f t="shared" si="27"/>
        <v>0</v>
      </c>
      <c r="BK55" s="193" t="b">
        <f t="shared" si="28"/>
        <v>0</v>
      </c>
      <c r="BL55" s="176" t="str">
        <f t="shared" si="29"/>
        <v/>
      </c>
      <c r="BN55" s="142" t="str">
        <f t="shared" si="30"/>
        <v>no data</v>
      </c>
      <c r="BP55" s="51">
        <v>28</v>
      </c>
      <c r="BQ55" s="51" t="str">
        <f t="shared" si="31"/>
        <v>-</v>
      </c>
      <c r="BS55"/>
      <c r="BU55" s="73"/>
      <c r="BV55" s="27"/>
      <c r="BW55" s="276"/>
      <c r="BX55" s="276"/>
      <c r="BY55" s="417">
        <f t="shared" si="32"/>
        <v>28</v>
      </c>
      <c r="BZ55" s="344">
        <f t="shared" si="33"/>
        <v>0</v>
      </c>
      <c r="CA55" s="344">
        <f t="shared" si="34"/>
        <v>0</v>
      </c>
      <c r="CB55" s="345" t="str">
        <f t="shared" si="35"/>
        <v/>
      </c>
      <c r="CC55" s="346" t="str">
        <f>IF(AQ55,IF(ISNUMBER(#REF!),MAX('Adjustment factors'!$S$16,0.2+0.8*#REF!),IF(ISTEXT(J55),VLOOKUP(J55,Afactors,2,FALSE),"")),"")</f>
        <v/>
      </c>
      <c r="CD55" s="347" t="str">
        <f t="shared" si="36"/>
        <v/>
      </c>
      <c r="CE55" s="280"/>
      <c r="CF55" s="280"/>
      <c r="CG55" s="280"/>
      <c r="CH55" s="280"/>
      <c r="CI55" s="276"/>
      <c r="CJ55" s="276"/>
      <c r="CK55" s="276"/>
      <c r="CL55" s="276"/>
      <c r="CM55" s="276"/>
      <c r="CN55" s="276"/>
      <c r="CO55" s="276"/>
      <c r="CP55" s="276"/>
      <c r="CQ55" s="276"/>
      <c r="CR55" s="276"/>
      <c r="CS55" s="276"/>
      <c r="CU55" s="142" t="str">
        <f t="shared" si="37"/>
        <v>OK</v>
      </c>
      <c r="CV55" s="142" t="str">
        <f t="shared" si="38"/>
        <v>OK</v>
      </c>
      <c r="CW55" s="142" t="str">
        <f t="shared" si="39"/>
        <v>OK</v>
      </c>
      <c r="CX55" s="142" t="str">
        <f t="shared" si="40"/>
        <v>OK</v>
      </c>
      <c r="CY55" s="143" t="str">
        <f t="shared" si="41"/>
        <v>OK</v>
      </c>
      <c r="CZ55" s="132" t="str">
        <f t="shared" si="42"/>
        <v>OK</v>
      </c>
      <c r="DA55" s="132" t="str">
        <f t="shared" si="43"/>
        <v>OK</v>
      </c>
      <c r="DB55" s="132" t="str">
        <f t="shared" si="44"/>
        <v>OK</v>
      </c>
      <c r="DC55" s="132" t="str">
        <f>IF(AND(ISNUMBER(#REF!),J55&lt;&gt;FixedDim),"Select fixed dimming with an illuminance factor","OK")</f>
        <v>OK</v>
      </c>
      <c r="DD55" s="132" t="str">
        <f>IF(AND(NOT(ISNUMBER(#REF!)),J55=FixedDim),"Enter an illuminance factor","OK")</f>
        <v>OK</v>
      </c>
      <c r="DE55" s="132" t="str">
        <f t="shared" si="68"/>
        <v>OK</v>
      </c>
      <c r="DF55" s="267" t="str">
        <f t="shared" si="45"/>
        <v>OK</v>
      </c>
      <c r="DG55" s="267" t="str">
        <f t="shared" si="46"/>
        <v>OK</v>
      </c>
      <c r="DH55" s="267" t="str">
        <f t="shared" si="47"/>
        <v>OK</v>
      </c>
      <c r="DI55" s="143" t="str">
        <f t="shared" si="48"/>
        <v>OK</v>
      </c>
      <c r="DJ55" s="134">
        <f t="shared" si="49"/>
        <v>0</v>
      </c>
      <c r="DK55" s="133" t="str">
        <f t="shared" si="50"/>
        <v>OK</v>
      </c>
    </row>
    <row r="56" spans="1:115" ht="17.649999999999999" hidden="1" x14ac:dyDescent="0.5">
      <c r="A56" s="197"/>
      <c r="B56" s="416" t="str">
        <f t="shared" si="0"/>
        <v>-</v>
      </c>
      <c r="C56" s="342">
        <v>29</v>
      </c>
      <c r="D56" s="420"/>
      <c r="E56" s="421"/>
      <c r="F56" s="422"/>
      <c r="G56" s="423"/>
      <c r="H56" s="530"/>
      <c r="I56" s="530"/>
      <c r="J56" s="424"/>
      <c r="K56" s="428"/>
      <c r="L56" s="428"/>
      <c r="M56" s="429"/>
      <c r="N56" s="418" t="str">
        <f t="shared" si="1"/>
        <v/>
      </c>
      <c r="O56" s="418" t="str">
        <f t="shared" si="51"/>
        <v/>
      </c>
      <c r="P56" s="419" t="str">
        <f t="shared" si="2"/>
        <v/>
      </c>
      <c r="Q56" s="343"/>
      <c r="R56" s="67" t="str">
        <f t="shared" si="3"/>
        <v/>
      </c>
      <c r="S56" s="20" t="b">
        <f t="shared" si="4"/>
        <v>0</v>
      </c>
      <c r="T56" s="19" t="str">
        <f t="shared" si="52"/>
        <v/>
      </c>
      <c r="U56" s="19" t="str">
        <f t="shared" si="5"/>
        <v/>
      </c>
      <c r="V56" s="179">
        <f t="shared" si="6"/>
        <v>0</v>
      </c>
      <c r="W56" s="180">
        <f t="shared" si="53"/>
        <v>0</v>
      </c>
      <c r="X56" s="180">
        <f t="shared" si="54"/>
        <v>0</v>
      </c>
      <c r="Y56" s="180">
        <f t="shared" si="7"/>
        <v>0</v>
      </c>
      <c r="Z56" s="181">
        <f t="shared" si="55"/>
        <v>0</v>
      </c>
      <c r="AA56" s="179">
        <f t="shared" si="8"/>
        <v>0</v>
      </c>
      <c r="AB56" s="180">
        <f t="shared" si="56"/>
        <v>0</v>
      </c>
      <c r="AC56" s="180">
        <f t="shared" si="57"/>
        <v>0</v>
      </c>
      <c r="AD56" s="180">
        <f t="shared" si="58"/>
        <v>0</v>
      </c>
      <c r="AE56" s="181">
        <f t="shared" si="59"/>
        <v>0</v>
      </c>
      <c r="AF56" s="179">
        <f t="shared" si="9"/>
        <v>0</v>
      </c>
      <c r="AG56" s="180">
        <f t="shared" si="60"/>
        <v>0</v>
      </c>
      <c r="AH56" s="180">
        <f t="shared" si="61"/>
        <v>0</v>
      </c>
      <c r="AI56" s="180">
        <f t="shared" si="62"/>
        <v>0</v>
      </c>
      <c r="AJ56" s="181">
        <f t="shared" si="63"/>
        <v>0</v>
      </c>
      <c r="AK56" s="184" t="b">
        <f t="shared" si="10"/>
        <v>1</v>
      </c>
      <c r="AL56" s="265" t="b">
        <f t="shared" si="11"/>
        <v>1</v>
      </c>
      <c r="AM56" s="21" t="str">
        <f t="shared" si="12"/>
        <v/>
      </c>
      <c r="AN56" s="21" t="b">
        <f t="shared" si="13"/>
        <v>0</v>
      </c>
      <c r="AO56" s="186" t="b">
        <f>IF(OR(COUNTBLANK(D56:I56)=6,AND(COUNTBLANK(D56:G56)=4,H56=0)),OR(AN57:AN$67),NOT(AN56))</f>
        <v>0</v>
      </c>
      <c r="AP56" s="21" t="b">
        <f t="shared" si="14"/>
        <v>1</v>
      </c>
      <c r="AQ56" s="21" t="b">
        <f t="shared" si="64"/>
        <v>1</v>
      </c>
      <c r="AR56" s="22">
        <f t="shared" si="15"/>
        <v>0</v>
      </c>
      <c r="AS56" s="22" t="str">
        <f t="shared" si="16"/>
        <v/>
      </c>
      <c r="AT56" s="199" t="str">
        <f t="shared" si="65"/>
        <v/>
      </c>
      <c r="AU56" s="200" t="str">
        <f t="shared" si="17"/>
        <v/>
      </c>
      <c r="AV56" s="68" t="str">
        <f t="shared" si="18"/>
        <v/>
      </c>
      <c r="AW56" s="169"/>
      <c r="AX56" s="68" t="str">
        <f t="shared" si="66"/>
        <v/>
      </c>
      <c r="AY56" s="476"/>
      <c r="AZ56" s="476"/>
      <c r="BA56" s="189" t="b">
        <f t="shared" ca="1" si="19"/>
        <v>0</v>
      </c>
      <c r="BB56" s="190" t="b">
        <f t="shared" ca="1" si="20"/>
        <v>0</v>
      </c>
      <c r="BC56" s="191" t="b">
        <f t="shared" ca="1" si="21"/>
        <v>0</v>
      </c>
      <c r="BD56" s="189" t="b">
        <f t="shared" ca="1" si="22"/>
        <v>0</v>
      </c>
      <c r="BE56" s="189" t="b">
        <f t="shared" ca="1" si="23"/>
        <v>0</v>
      </c>
      <c r="BF56" s="190" t="b">
        <f t="shared" ca="1" si="24"/>
        <v>0</v>
      </c>
      <c r="BG56" s="191" t="b">
        <f t="shared" ca="1" si="25"/>
        <v>0</v>
      </c>
      <c r="BH56" s="189" t="b">
        <f t="shared" ca="1" si="26"/>
        <v>0</v>
      </c>
      <c r="BI56" s="190" t="b">
        <f t="shared" si="67"/>
        <v>0</v>
      </c>
      <c r="BJ56" s="192" t="b">
        <f t="shared" si="27"/>
        <v>0</v>
      </c>
      <c r="BK56" s="193" t="b">
        <f t="shared" si="28"/>
        <v>0</v>
      </c>
      <c r="BL56" s="176" t="str">
        <f t="shared" si="29"/>
        <v/>
      </c>
      <c r="BN56" s="142" t="str">
        <f t="shared" si="30"/>
        <v>no data</v>
      </c>
      <c r="BP56" s="51">
        <v>29</v>
      </c>
      <c r="BQ56" s="51" t="str">
        <f t="shared" si="31"/>
        <v>-</v>
      </c>
      <c r="BS56"/>
      <c r="BU56" s="73"/>
      <c r="BV56" s="27"/>
      <c r="BW56" s="276"/>
      <c r="BX56" s="276"/>
      <c r="BY56" s="417">
        <f t="shared" si="32"/>
        <v>29</v>
      </c>
      <c r="BZ56" s="344">
        <f t="shared" si="33"/>
        <v>0</v>
      </c>
      <c r="CA56" s="344">
        <f t="shared" si="34"/>
        <v>0</v>
      </c>
      <c r="CB56" s="345" t="str">
        <f t="shared" si="35"/>
        <v/>
      </c>
      <c r="CC56" s="346" t="str">
        <f>IF(AQ56,IF(ISNUMBER(#REF!),MAX('Adjustment factors'!$S$16,0.2+0.8*#REF!),IF(ISTEXT(J56),VLOOKUP(J56,Afactors,2,FALSE),"")),"")</f>
        <v/>
      </c>
      <c r="CD56" s="347" t="str">
        <f t="shared" si="36"/>
        <v/>
      </c>
      <c r="CE56" s="280"/>
      <c r="CF56" s="280"/>
      <c r="CG56" s="280"/>
      <c r="CH56" s="280"/>
      <c r="CI56" s="276"/>
      <c r="CJ56" s="276"/>
      <c r="CK56" s="276"/>
      <c r="CL56" s="276"/>
      <c r="CM56" s="276"/>
      <c r="CN56" s="276"/>
      <c r="CO56" s="276"/>
      <c r="CP56" s="276"/>
      <c r="CQ56" s="276"/>
      <c r="CR56" s="276"/>
      <c r="CS56" s="276"/>
      <c r="CU56" s="142" t="str">
        <f t="shared" si="37"/>
        <v>OK</v>
      </c>
      <c r="CV56" s="142" t="str">
        <f t="shared" si="38"/>
        <v>OK</v>
      </c>
      <c r="CW56" s="142" t="str">
        <f t="shared" si="39"/>
        <v>OK</v>
      </c>
      <c r="CX56" s="142" t="str">
        <f t="shared" si="40"/>
        <v>OK</v>
      </c>
      <c r="CY56" s="143" t="str">
        <f t="shared" si="41"/>
        <v>OK</v>
      </c>
      <c r="CZ56" s="132" t="str">
        <f t="shared" si="42"/>
        <v>OK</v>
      </c>
      <c r="DA56" s="132" t="str">
        <f t="shared" si="43"/>
        <v>OK</v>
      </c>
      <c r="DB56" s="132" t="str">
        <f t="shared" si="44"/>
        <v>OK</v>
      </c>
      <c r="DC56" s="132" t="str">
        <f>IF(AND(ISNUMBER(#REF!),J56&lt;&gt;FixedDim),"Select fixed dimming with an illuminance factor","OK")</f>
        <v>OK</v>
      </c>
      <c r="DD56" s="132" t="str">
        <f>IF(AND(NOT(ISNUMBER(#REF!)),J56=FixedDim),"Enter an illuminance factor","OK")</f>
        <v>OK</v>
      </c>
      <c r="DE56" s="132" t="str">
        <f t="shared" si="68"/>
        <v>OK</v>
      </c>
      <c r="DF56" s="267" t="str">
        <f t="shared" si="45"/>
        <v>OK</v>
      </c>
      <c r="DG56" s="267" t="str">
        <f t="shared" si="46"/>
        <v>OK</v>
      </c>
      <c r="DH56" s="267" t="str">
        <f t="shared" si="47"/>
        <v>OK</v>
      </c>
      <c r="DI56" s="143" t="str">
        <f t="shared" si="48"/>
        <v>OK</v>
      </c>
      <c r="DJ56" s="134">
        <f t="shared" si="49"/>
        <v>0</v>
      </c>
      <c r="DK56" s="133" t="str">
        <f t="shared" si="50"/>
        <v>OK</v>
      </c>
    </row>
    <row r="57" spans="1:115" ht="17.649999999999999" hidden="1" x14ac:dyDescent="0.5">
      <c r="A57" s="197"/>
      <c r="B57" s="416" t="str">
        <f t="shared" si="0"/>
        <v>-</v>
      </c>
      <c r="C57" s="342">
        <v>30</v>
      </c>
      <c r="D57" s="420"/>
      <c r="E57" s="421"/>
      <c r="F57" s="422"/>
      <c r="G57" s="423"/>
      <c r="H57" s="530"/>
      <c r="I57" s="530"/>
      <c r="J57" s="424"/>
      <c r="K57" s="428"/>
      <c r="L57" s="428"/>
      <c r="M57" s="429"/>
      <c r="N57" s="418" t="str">
        <f t="shared" si="1"/>
        <v/>
      </c>
      <c r="O57" s="418" t="str">
        <f t="shared" si="51"/>
        <v/>
      </c>
      <c r="P57" s="419" t="str">
        <f t="shared" si="2"/>
        <v/>
      </c>
      <c r="Q57" s="343"/>
      <c r="R57" s="67" t="str">
        <f t="shared" si="3"/>
        <v/>
      </c>
      <c r="S57" s="20" t="b">
        <f t="shared" si="4"/>
        <v>0</v>
      </c>
      <c r="T57" s="19" t="str">
        <f t="shared" si="52"/>
        <v/>
      </c>
      <c r="U57" s="19" t="str">
        <f t="shared" si="5"/>
        <v/>
      </c>
      <c r="V57" s="179">
        <f t="shared" si="6"/>
        <v>0</v>
      </c>
      <c r="W57" s="180">
        <f t="shared" si="53"/>
        <v>0</v>
      </c>
      <c r="X57" s="180">
        <f t="shared" si="54"/>
        <v>0</v>
      </c>
      <c r="Y57" s="180">
        <f t="shared" si="7"/>
        <v>0</v>
      </c>
      <c r="Z57" s="181">
        <f t="shared" si="55"/>
        <v>0</v>
      </c>
      <c r="AA57" s="179">
        <f t="shared" si="8"/>
        <v>0</v>
      </c>
      <c r="AB57" s="180">
        <f t="shared" si="56"/>
        <v>0</v>
      </c>
      <c r="AC57" s="180">
        <f t="shared" si="57"/>
        <v>0</v>
      </c>
      <c r="AD57" s="180">
        <f t="shared" si="58"/>
        <v>0</v>
      </c>
      <c r="AE57" s="181">
        <f t="shared" si="59"/>
        <v>0</v>
      </c>
      <c r="AF57" s="179">
        <f t="shared" si="9"/>
        <v>0</v>
      </c>
      <c r="AG57" s="180">
        <f t="shared" si="60"/>
        <v>0</v>
      </c>
      <c r="AH57" s="180">
        <f t="shared" si="61"/>
        <v>0</v>
      </c>
      <c r="AI57" s="180">
        <f t="shared" si="62"/>
        <v>0</v>
      </c>
      <c r="AJ57" s="181">
        <f t="shared" si="63"/>
        <v>0</v>
      </c>
      <c r="AK57" s="184" t="b">
        <f t="shared" si="10"/>
        <v>1</v>
      </c>
      <c r="AL57" s="265" t="b">
        <f t="shared" si="11"/>
        <v>1</v>
      </c>
      <c r="AM57" s="21" t="str">
        <f t="shared" si="12"/>
        <v/>
      </c>
      <c r="AN57" s="21" t="b">
        <f t="shared" si="13"/>
        <v>0</v>
      </c>
      <c r="AO57" s="186" t="b">
        <f>IF(OR(COUNTBLANK(D57:I57)=6,AND(COUNTBLANK(D57:G57)=4,H57=0)),OR(AN58:AN$67),NOT(AN57))</f>
        <v>0</v>
      </c>
      <c r="AP57" s="21" t="b">
        <f t="shared" si="14"/>
        <v>1</v>
      </c>
      <c r="AQ57" s="21" t="b">
        <f t="shared" si="64"/>
        <v>1</v>
      </c>
      <c r="AR57" s="22">
        <f t="shared" si="15"/>
        <v>0</v>
      </c>
      <c r="AS57" s="22" t="str">
        <f t="shared" si="16"/>
        <v/>
      </c>
      <c r="AT57" s="199" t="str">
        <f t="shared" si="65"/>
        <v/>
      </c>
      <c r="AU57" s="200" t="str">
        <f t="shared" si="17"/>
        <v/>
      </c>
      <c r="AV57" s="68" t="str">
        <f t="shared" si="18"/>
        <v/>
      </c>
      <c r="AW57" s="169"/>
      <c r="AX57" s="68" t="str">
        <f t="shared" si="66"/>
        <v/>
      </c>
      <c r="AY57" s="476"/>
      <c r="AZ57" s="476"/>
      <c r="BA57" s="189" t="b">
        <f t="shared" ca="1" si="19"/>
        <v>0</v>
      </c>
      <c r="BB57" s="190" t="b">
        <f t="shared" ca="1" si="20"/>
        <v>0</v>
      </c>
      <c r="BC57" s="191" t="b">
        <f t="shared" ca="1" si="21"/>
        <v>0</v>
      </c>
      <c r="BD57" s="189" t="b">
        <f t="shared" ca="1" si="22"/>
        <v>0</v>
      </c>
      <c r="BE57" s="189" t="b">
        <f t="shared" ca="1" si="23"/>
        <v>0</v>
      </c>
      <c r="BF57" s="190" t="b">
        <f t="shared" ca="1" si="24"/>
        <v>0</v>
      </c>
      <c r="BG57" s="191" t="b">
        <f t="shared" ca="1" si="25"/>
        <v>0</v>
      </c>
      <c r="BH57" s="189" t="b">
        <f t="shared" ca="1" si="26"/>
        <v>0</v>
      </c>
      <c r="BI57" s="190" t="b">
        <f t="shared" si="67"/>
        <v>0</v>
      </c>
      <c r="BJ57" s="192" t="b">
        <f t="shared" si="27"/>
        <v>0</v>
      </c>
      <c r="BK57" s="193" t="b">
        <f t="shared" si="28"/>
        <v>0</v>
      </c>
      <c r="BL57" s="176" t="str">
        <f t="shared" si="29"/>
        <v/>
      </c>
      <c r="BN57" s="142" t="str">
        <f t="shared" si="30"/>
        <v>no data</v>
      </c>
      <c r="BP57" s="51">
        <v>30</v>
      </c>
      <c r="BQ57" s="51" t="str">
        <f t="shared" si="31"/>
        <v>-</v>
      </c>
      <c r="BS57"/>
      <c r="BU57" s="73"/>
      <c r="BV57" s="27"/>
      <c r="BW57" s="276"/>
      <c r="BX57" s="276"/>
      <c r="BY57" s="417">
        <f t="shared" si="32"/>
        <v>30</v>
      </c>
      <c r="BZ57" s="344">
        <f t="shared" si="33"/>
        <v>0</v>
      </c>
      <c r="CA57" s="344">
        <f t="shared" si="34"/>
        <v>0</v>
      </c>
      <c r="CB57" s="345" t="str">
        <f t="shared" si="35"/>
        <v/>
      </c>
      <c r="CC57" s="346" t="str">
        <f>IF(AQ57,IF(ISNUMBER(#REF!),MAX('Adjustment factors'!$S$16,0.2+0.8*#REF!),IF(ISTEXT(J57),VLOOKUP(J57,Afactors,2,FALSE),"")),"")</f>
        <v/>
      </c>
      <c r="CD57" s="347" t="str">
        <f t="shared" si="36"/>
        <v/>
      </c>
      <c r="CE57" s="280"/>
      <c r="CF57" s="280"/>
      <c r="CG57" s="280"/>
      <c r="CH57" s="280"/>
      <c r="CI57" s="276"/>
      <c r="CJ57" s="276"/>
      <c r="CK57" s="276"/>
      <c r="CL57" s="276"/>
      <c r="CM57" s="276"/>
      <c r="CN57" s="276"/>
      <c r="CO57" s="276"/>
      <c r="CP57" s="276"/>
      <c r="CQ57" s="276"/>
      <c r="CR57" s="276"/>
      <c r="CS57" s="276"/>
      <c r="CU57" s="142" t="str">
        <f t="shared" si="37"/>
        <v>OK</v>
      </c>
      <c r="CV57" s="142" t="str">
        <f t="shared" si="38"/>
        <v>OK</v>
      </c>
      <c r="CW57" s="142" t="str">
        <f t="shared" si="39"/>
        <v>OK</v>
      </c>
      <c r="CX57" s="142" t="str">
        <f t="shared" si="40"/>
        <v>OK</v>
      </c>
      <c r="CY57" s="143" t="str">
        <f t="shared" si="41"/>
        <v>OK</v>
      </c>
      <c r="CZ57" s="132" t="str">
        <f t="shared" si="42"/>
        <v>OK</v>
      </c>
      <c r="DA57" s="132" t="str">
        <f t="shared" si="43"/>
        <v>OK</v>
      </c>
      <c r="DB57" s="132" t="str">
        <f t="shared" si="44"/>
        <v>OK</v>
      </c>
      <c r="DC57" s="132" t="str">
        <f>IF(AND(ISNUMBER(#REF!),J57&lt;&gt;FixedDim),"Select fixed dimming with an illuminance factor","OK")</f>
        <v>OK</v>
      </c>
      <c r="DD57" s="132" t="str">
        <f>IF(AND(NOT(ISNUMBER(#REF!)),J57=FixedDim),"Enter an illuminance factor","OK")</f>
        <v>OK</v>
      </c>
      <c r="DE57" s="132" t="str">
        <f t="shared" si="68"/>
        <v>OK</v>
      </c>
      <c r="DF57" s="267" t="str">
        <f t="shared" si="45"/>
        <v>OK</v>
      </c>
      <c r="DG57" s="267" t="str">
        <f t="shared" si="46"/>
        <v>OK</v>
      </c>
      <c r="DH57" s="267" t="str">
        <f t="shared" si="47"/>
        <v>OK</v>
      </c>
      <c r="DI57" s="143" t="str">
        <f t="shared" si="48"/>
        <v>OK</v>
      </c>
      <c r="DJ57" s="134">
        <f t="shared" si="49"/>
        <v>0</v>
      </c>
      <c r="DK57" s="133" t="str">
        <f t="shared" si="50"/>
        <v>OK</v>
      </c>
    </row>
    <row r="58" spans="1:115" ht="17.649999999999999" hidden="1" x14ac:dyDescent="0.5">
      <c r="A58" s="197"/>
      <c r="B58" s="416" t="str">
        <f t="shared" si="0"/>
        <v>-</v>
      </c>
      <c r="C58" s="342">
        <v>31</v>
      </c>
      <c r="D58" s="420"/>
      <c r="E58" s="421"/>
      <c r="F58" s="422"/>
      <c r="G58" s="423"/>
      <c r="H58" s="530"/>
      <c r="I58" s="530"/>
      <c r="J58" s="424"/>
      <c r="K58" s="428"/>
      <c r="L58" s="428"/>
      <c r="M58" s="429"/>
      <c r="N58" s="418" t="str">
        <f t="shared" si="1"/>
        <v/>
      </c>
      <c r="O58" s="418" t="str">
        <f t="shared" si="51"/>
        <v/>
      </c>
      <c r="P58" s="419" t="str">
        <f t="shared" si="2"/>
        <v/>
      </c>
      <c r="Q58" s="343"/>
      <c r="R58" s="67" t="str">
        <f t="shared" si="3"/>
        <v/>
      </c>
      <c r="S58" s="20" t="b">
        <f t="shared" si="4"/>
        <v>0</v>
      </c>
      <c r="T58" s="19" t="str">
        <f t="shared" si="52"/>
        <v/>
      </c>
      <c r="U58" s="19" t="str">
        <f t="shared" si="5"/>
        <v/>
      </c>
      <c r="V58" s="179">
        <f t="shared" si="6"/>
        <v>0</v>
      </c>
      <c r="W58" s="180">
        <f t="shared" si="53"/>
        <v>0</v>
      </c>
      <c r="X58" s="180">
        <f t="shared" si="54"/>
        <v>0</v>
      </c>
      <c r="Y58" s="180">
        <f t="shared" si="7"/>
        <v>0</v>
      </c>
      <c r="Z58" s="181">
        <f t="shared" si="55"/>
        <v>0</v>
      </c>
      <c r="AA58" s="179">
        <f t="shared" si="8"/>
        <v>0</v>
      </c>
      <c r="AB58" s="180">
        <f t="shared" si="56"/>
        <v>0</v>
      </c>
      <c r="AC58" s="180">
        <f t="shared" si="57"/>
        <v>0</v>
      </c>
      <c r="AD58" s="180">
        <f t="shared" si="58"/>
        <v>0</v>
      </c>
      <c r="AE58" s="181">
        <f t="shared" si="59"/>
        <v>0</v>
      </c>
      <c r="AF58" s="179">
        <f t="shared" si="9"/>
        <v>0</v>
      </c>
      <c r="AG58" s="180">
        <f t="shared" si="60"/>
        <v>0</v>
      </c>
      <c r="AH58" s="180">
        <f t="shared" si="61"/>
        <v>0</v>
      </c>
      <c r="AI58" s="180">
        <f t="shared" si="62"/>
        <v>0</v>
      </c>
      <c r="AJ58" s="181">
        <f t="shared" si="63"/>
        <v>0</v>
      </c>
      <c r="AK58" s="184" t="b">
        <f t="shared" si="10"/>
        <v>1</v>
      </c>
      <c r="AL58" s="265" t="b">
        <f t="shared" si="11"/>
        <v>1</v>
      </c>
      <c r="AM58" s="21" t="str">
        <f t="shared" si="12"/>
        <v/>
      </c>
      <c r="AN58" s="21" t="b">
        <f t="shared" si="13"/>
        <v>0</v>
      </c>
      <c r="AO58" s="186" t="b">
        <f>IF(OR(COUNTBLANK(D58:I58)=6,AND(COUNTBLANK(D58:G58)=4,H58=0)),OR(AN59:AN$67),NOT(AN58))</f>
        <v>0</v>
      </c>
      <c r="AP58" s="21" t="b">
        <f t="shared" si="14"/>
        <v>1</v>
      </c>
      <c r="AQ58" s="21" t="b">
        <f t="shared" si="64"/>
        <v>1</v>
      </c>
      <c r="AR58" s="22">
        <f t="shared" si="15"/>
        <v>0</v>
      </c>
      <c r="AS58" s="22" t="str">
        <f t="shared" si="16"/>
        <v/>
      </c>
      <c r="AT58" s="199" t="str">
        <f t="shared" si="65"/>
        <v/>
      </c>
      <c r="AU58" s="200" t="str">
        <f t="shared" si="17"/>
        <v/>
      </c>
      <c r="AV58" s="68" t="str">
        <f t="shared" si="18"/>
        <v/>
      </c>
      <c r="AW58" s="169"/>
      <c r="AX58" s="68" t="str">
        <f t="shared" si="66"/>
        <v/>
      </c>
      <c r="AY58" s="476"/>
      <c r="AZ58" s="476"/>
      <c r="BA58" s="189" t="b">
        <f t="shared" ca="1" si="19"/>
        <v>0</v>
      </c>
      <c r="BB58" s="190" t="b">
        <f t="shared" ca="1" si="20"/>
        <v>0</v>
      </c>
      <c r="BC58" s="191" t="b">
        <f t="shared" ca="1" si="21"/>
        <v>0</v>
      </c>
      <c r="BD58" s="189" t="b">
        <f t="shared" ca="1" si="22"/>
        <v>0</v>
      </c>
      <c r="BE58" s="189" t="b">
        <f t="shared" ca="1" si="23"/>
        <v>0</v>
      </c>
      <c r="BF58" s="190" t="b">
        <f t="shared" ca="1" si="24"/>
        <v>0</v>
      </c>
      <c r="BG58" s="191" t="b">
        <f t="shared" ca="1" si="25"/>
        <v>0</v>
      </c>
      <c r="BH58" s="189" t="b">
        <f t="shared" ca="1" si="26"/>
        <v>0</v>
      </c>
      <c r="BI58" s="190" t="b">
        <f t="shared" si="67"/>
        <v>0</v>
      </c>
      <c r="BJ58" s="192" t="b">
        <f t="shared" si="27"/>
        <v>0</v>
      </c>
      <c r="BK58" s="193" t="b">
        <f t="shared" si="28"/>
        <v>0</v>
      </c>
      <c r="BL58" s="176" t="str">
        <f t="shared" si="29"/>
        <v/>
      </c>
      <c r="BN58" s="142" t="str">
        <f t="shared" si="30"/>
        <v>no data</v>
      </c>
      <c r="BP58" s="51">
        <v>31</v>
      </c>
      <c r="BQ58" s="51" t="str">
        <f t="shared" si="31"/>
        <v>-</v>
      </c>
      <c r="BS58"/>
      <c r="BU58" s="73"/>
      <c r="BV58" s="27"/>
      <c r="BW58" s="276"/>
      <c r="BX58" s="276"/>
      <c r="BY58" s="417">
        <f t="shared" si="32"/>
        <v>31</v>
      </c>
      <c r="BZ58" s="344">
        <f t="shared" si="33"/>
        <v>0</v>
      </c>
      <c r="CA58" s="344">
        <f t="shared" si="34"/>
        <v>0</v>
      </c>
      <c r="CB58" s="345" t="str">
        <f t="shared" si="35"/>
        <v/>
      </c>
      <c r="CC58" s="346" t="str">
        <f>IF(AQ58,IF(ISNUMBER(#REF!),MAX('Adjustment factors'!$S$16,0.2+0.8*#REF!),IF(ISTEXT(J58),VLOOKUP(J58,Afactors,2,FALSE),"")),"")</f>
        <v/>
      </c>
      <c r="CD58" s="347" t="str">
        <f t="shared" si="36"/>
        <v/>
      </c>
      <c r="CE58" s="280"/>
      <c r="CF58" s="280"/>
      <c r="CG58" s="280"/>
      <c r="CH58" s="280"/>
      <c r="CI58" s="276"/>
      <c r="CJ58" s="276"/>
      <c r="CK58" s="276"/>
      <c r="CL58" s="276"/>
      <c r="CM58" s="276"/>
      <c r="CN58" s="276"/>
      <c r="CO58" s="276"/>
      <c r="CP58" s="276"/>
      <c r="CQ58" s="276"/>
      <c r="CR58" s="276"/>
      <c r="CS58" s="276"/>
      <c r="CU58" s="142" t="str">
        <f t="shared" si="37"/>
        <v>OK</v>
      </c>
      <c r="CV58" s="142" t="str">
        <f t="shared" si="38"/>
        <v>OK</v>
      </c>
      <c r="CW58" s="142" t="str">
        <f t="shared" si="39"/>
        <v>OK</v>
      </c>
      <c r="CX58" s="142" t="str">
        <f t="shared" si="40"/>
        <v>OK</v>
      </c>
      <c r="CY58" s="143" t="str">
        <f t="shared" si="41"/>
        <v>OK</v>
      </c>
      <c r="CZ58" s="132" t="str">
        <f t="shared" si="42"/>
        <v>OK</v>
      </c>
      <c r="DA58" s="132" t="str">
        <f t="shared" si="43"/>
        <v>OK</v>
      </c>
      <c r="DB58" s="132" t="str">
        <f t="shared" si="44"/>
        <v>OK</v>
      </c>
      <c r="DC58" s="132" t="str">
        <f>IF(AND(ISNUMBER(#REF!),J58&lt;&gt;FixedDim),"Select fixed dimming with an illuminance factor","OK")</f>
        <v>OK</v>
      </c>
      <c r="DD58" s="132" t="str">
        <f>IF(AND(NOT(ISNUMBER(#REF!)),J58=FixedDim),"Enter an illuminance factor","OK")</f>
        <v>OK</v>
      </c>
      <c r="DE58" s="132" t="str">
        <f t="shared" si="68"/>
        <v>OK</v>
      </c>
      <c r="DF58" s="267" t="str">
        <f t="shared" si="45"/>
        <v>OK</v>
      </c>
      <c r="DG58" s="267" t="str">
        <f t="shared" si="46"/>
        <v>OK</v>
      </c>
      <c r="DH58" s="267" t="str">
        <f t="shared" si="47"/>
        <v>OK</v>
      </c>
      <c r="DI58" s="143" t="str">
        <f t="shared" si="48"/>
        <v>OK</v>
      </c>
      <c r="DJ58" s="134">
        <f t="shared" si="49"/>
        <v>0</v>
      </c>
      <c r="DK58" s="133" t="str">
        <f t="shared" si="50"/>
        <v>OK</v>
      </c>
    </row>
    <row r="59" spans="1:115" ht="17.649999999999999" hidden="1" x14ac:dyDescent="0.5">
      <c r="A59" s="197"/>
      <c r="B59" s="416" t="str">
        <f t="shared" si="0"/>
        <v>-</v>
      </c>
      <c r="C59" s="342">
        <v>32</v>
      </c>
      <c r="D59" s="420"/>
      <c r="E59" s="421"/>
      <c r="F59" s="422"/>
      <c r="G59" s="423"/>
      <c r="H59" s="530"/>
      <c r="I59" s="530"/>
      <c r="J59" s="424"/>
      <c r="K59" s="428"/>
      <c r="L59" s="428"/>
      <c r="M59" s="429"/>
      <c r="N59" s="418" t="str">
        <f t="shared" si="1"/>
        <v/>
      </c>
      <c r="O59" s="418" t="str">
        <f t="shared" si="51"/>
        <v/>
      </c>
      <c r="P59" s="419" t="str">
        <f t="shared" si="2"/>
        <v/>
      </c>
      <c r="Q59" s="343"/>
      <c r="R59" s="67" t="str">
        <f t="shared" si="3"/>
        <v/>
      </c>
      <c r="S59" s="20" t="b">
        <f t="shared" si="4"/>
        <v>0</v>
      </c>
      <c r="T59" s="19" t="str">
        <f t="shared" si="52"/>
        <v/>
      </c>
      <c r="U59" s="19" t="str">
        <f t="shared" si="5"/>
        <v/>
      </c>
      <c r="V59" s="179">
        <f t="shared" si="6"/>
        <v>0</v>
      </c>
      <c r="W59" s="180">
        <f t="shared" si="53"/>
        <v>0</v>
      </c>
      <c r="X59" s="180">
        <f t="shared" si="54"/>
        <v>0</v>
      </c>
      <c r="Y59" s="180">
        <f t="shared" si="7"/>
        <v>0</v>
      </c>
      <c r="Z59" s="181">
        <f t="shared" si="55"/>
        <v>0</v>
      </c>
      <c r="AA59" s="179">
        <f t="shared" si="8"/>
        <v>0</v>
      </c>
      <c r="AB59" s="180">
        <f t="shared" si="56"/>
        <v>0</v>
      </c>
      <c r="AC59" s="180">
        <f t="shared" si="57"/>
        <v>0</v>
      </c>
      <c r="AD59" s="180">
        <f t="shared" si="58"/>
        <v>0</v>
      </c>
      <c r="AE59" s="181">
        <f t="shared" si="59"/>
        <v>0</v>
      </c>
      <c r="AF59" s="179">
        <f t="shared" si="9"/>
        <v>0</v>
      </c>
      <c r="AG59" s="180">
        <f t="shared" si="60"/>
        <v>0</v>
      </c>
      <c r="AH59" s="180">
        <f t="shared" si="61"/>
        <v>0</v>
      </c>
      <c r="AI59" s="180">
        <f t="shared" si="62"/>
        <v>0</v>
      </c>
      <c r="AJ59" s="181">
        <f t="shared" si="63"/>
        <v>0</v>
      </c>
      <c r="AK59" s="184" t="b">
        <f t="shared" si="10"/>
        <v>1</v>
      </c>
      <c r="AL59" s="265" t="b">
        <f t="shared" si="11"/>
        <v>1</v>
      </c>
      <c r="AM59" s="21" t="str">
        <f t="shared" si="12"/>
        <v/>
      </c>
      <c r="AN59" s="21" t="b">
        <f t="shared" si="13"/>
        <v>0</v>
      </c>
      <c r="AO59" s="186" t="b">
        <f>IF(OR(COUNTBLANK(D59:I59)=6,AND(COUNTBLANK(D59:G59)=4,H59=0)),OR(AN60:AN$67),NOT(AN59))</f>
        <v>0</v>
      </c>
      <c r="AP59" s="21" t="b">
        <f t="shared" si="14"/>
        <v>1</v>
      </c>
      <c r="AQ59" s="21" t="b">
        <f t="shared" si="64"/>
        <v>1</v>
      </c>
      <c r="AR59" s="22">
        <f t="shared" si="15"/>
        <v>0</v>
      </c>
      <c r="AS59" s="22" t="str">
        <f t="shared" si="16"/>
        <v/>
      </c>
      <c r="AT59" s="199" t="str">
        <f t="shared" si="65"/>
        <v/>
      </c>
      <c r="AU59" s="200" t="str">
        <f t="shared" si="17"/>
        <v/>
      </c>
      <c r="AV59" s="68" t="str">
        <f t="shared" si="18"/>
        <v/>
      </c>
      <c r="AW59" s="169"/>
      <c r="AX59" s="68" t="str">
        <f t="shared" si="66"/>
        <v/>
      </c>
      <c r="AY59" s="476"/>
      <c r="AZ59" s="476"/>
      <c r="BA59" s="189" t="b">
        <f t="shared" ca="1" si="19"/>
        <v>0</v>
      </c>
      <c r="BB59" s="190" t="b">
        <f t="shared" ca="1" si="20"/>
        <v>0</v>
      </c>
      <c r="BC59" s="191" t="b">
        <f t="shared" ca="1" si="21"/>
        <v>0</v>
      </c>
      <c r="BD59" s="189" t="b">
        <f t="shared" ca="1" si="22"/>
        <v>0</v>
      </c>
      <c r="BE59" s="189" t="b">
        <f t="shared" ca="1" si="23"/>
        <v>0</v>
      </c>
      <c r="BF59" s="190" t="b">
        <f t="shared" ca="1" si="24"/>
        <v>0</v>
      </c>
      <c r="BG59" s="191" t="b">
        <f t="shared" ca="1" si="25"/>
        <v>0</v>
      </c>
      <c r="BH59" s="189" t="b">
        <f t="shared" ca="1" si="26"/>
        <v>0</v>
      </c>
      <c r="BI59" s="190" t="b">
        <f t="shared" si="67"/>
        <v>0</v>
      </c>
      <c r="BJ59" s="192" t="b">
        <f t="shared" si="27"/>
        <v>0</v>
      </c>
      <c r="BK59" s="193" t="b">
        <f t="shared" si="28"/>
        <v>0</v>
      </c>
      <c r="BL59" s="176" t="str">
        <f t="shared" si="29"/>
        <v/>
      </c>
      <c r="BN59" s="142" t="str">
        <f t="shared" si="30"/>
        <v>no data</v>
      </c>
      <c r="BP59" s="51">
        <v>32</v>
      </c>
      <c r="BQ59" s="51" t="str">
        <f t="shared" si="31"/>
        <v>-</v>
      </c>
      <c r="BS59"/>
      <c r="BU59" s="73"/>
      <c r="BV59" s="27"/>
      <c r="BW59" s="276"/>
      <c r="BX59" s="276"/>
      <c r="BY59" s="417">
        <f t="shared" si="32"/>
        <v>32</v>
      </c>
      <c r="BZ59" s="344">
        <f t="shared" si="33"/>
        <v>0</v>
      </c>
      <c r="CA59" s="344">
        <f t="shared" si="34"/>
        <v>0</v>
      </c>
      <c r="CB59" s="345" t="str">
        <f t="shared" si="35"/>
        <v/>
      </c>
      <c r="CC59" s="346" t="str">
        <f>IF(AQ59,IF(ISNUMBER(#REF!),MAX('Adjustment factors'!$S$16,0.2+0.8*#REF!),IF(ISTEXT(J59),VLOOKUP(J59,Afactors,2,FALSE),"")),"")</f>
        <v/>
      </c>
      <c r="CD59" s="347" t="str">
        <f t="shared" si="36"/>
        <v/>
      </c>
      <c r="CE59" s="280"/>
      <c r="CF59" s="280"/>
      <c r="CG59" s="280"/>
      <c r="CH59" s="280"/>
      <c r="CI59" s="276"/>
      <c r="CJ59" s="276"/>
      <c r="CK59" s="276"/>
      <c r="CL59" s="276"/>
      <c r="CM59" s="276"/>
      <c r="CN59" s="276"/>
      <c r="CO59" s="276"/>
      <c r="CP59" s="276"/>
      <c r="CQ59" s="276"/>
      <c r="CR59" s="276"/>
      <c r="CS59" s="276"/>
      <c r="CU59" s="142" t="str">
        <f t="shared" si="37"/>
        <v>OK</v>
      </c>
      <c r="CV59" s="142" t="str">
        <f t="shared" si="38"/>
        <v>OK</v>
      </c>
      <c r="CW59" s="142" t="str">
        <f t="shared" si="39"/>
        <v>OK</v>
      </c>
      <c r="CX59" s="142" t="str">
        <f t="shared" si="40"/>
        <v>OK</v>
      </c>
      <c r="CY59" s="143" t="str">
        <f t="shared" si="41"/>
        <v>OK</v>
      </c>
      <c r="CZ59" s="132" t="str">
        <f t="shared" si="42"/>
        <v>OK</v>
      </c>
      <c r="DA59" s="132" t="str">
        <f t="shared" si="43"/>
        <v>OK</v>
      </c>
      <c r="DB59" s="132" t="str">
        <f t="shared" si="44"/>
        <v>OK</v>
      </c>
      <c r="DC59" s="132" t="str">
        <f>IF(AND(ISNUMBER(#REF!),J59&lt;&gt;FixedDim),"Select fixed dimming with an illuminance factor","OK")</f>
        <v>OK</v>
      </c>
      <c r="DD59" s="132" t="str">
        <f>IF(AND(NOT(ISNUMBER(#REF!)),J59=FixedDim),"Enter an illuminance factor","OK")</f>
        <v>OK</v>
      </c>
      <c r="DE59" s="132" t="str">
        <f t="shared" si="68"/>
        <v>OK</v>
      </c>
      <c r="DF59" s="267" t="str">
        <f t="shared" si="45"/>
        <v>OK</v>
      </c>
      <c r="DG59" s="267" t="str">
        <f t="shared" si="46"/>
        <v>OK</v>
      </c>
      <c r="DH59" s="267" t="str">
        <f t="shared" si="47"/>
        <v>OK</v>
      </c>
      <c r="DI59" s="143" t="str">
        <f t="shared" si="48"/>
        <v>OK</v>
      </c>
      <c r="DJ59" s="134">
        <f t="shared" si="49"/>
        <v>0</v>
      </c>
      <c r="DK59" s="133" t="str">
        <f t="shared" si="50"/>
        <v>OK</v>
      </c>
    </row>
    <row r="60" spans="1:115" ht="17.649999999999999" hidden="1" x14ac:dyDescent="0.5">
      <c r="A60" s="197"/>
      <c r="B60" s="416" t="str">
        <f t="shared" si="0"/>
        <v>-</v>
      </c>
      <c r="C60" s="342">
        <v>33</v>
      </c>
      <c r="D60" s="420"/>
      <c r="E60" s="421"/>
      <c r="F60" s="422"/>
      <c r="G60" s="423"/>
      <c r="H60" s="530"/>
      <c r="I60" s="530"/>
      <c r="J60" s="424"/>
      <c r="K60" s="428"/>
      <c r="L60" s="428"/>
      <c r="M60" s="429"/>
      <c r="N60" s="418" t="str">
        <f t="shared" si="1"/>
        <v/>
      </c>
      <c r="O60" s="418" t="str">
        <f t="shared" si="51"/>
        <v/>
      </c>
      <c r="P60" s="419" t="str">
        <f t="shared" si="2"/>
        <v/>
      </c>
      <c r="Q60" s="343"/>
      <c r="R60" s="67" t="str">
        <f t="shared" si="3"/>
        <v/>
      </c>
      <c r="S60" s="20" t="b">
        <f t="shared" si="4"/>
        <v>0</v>
      </c>
      <c r="T60" s="19" t="str">
        <f t="shared" si="52"/>
        <v/>
      </c>
      <c r="U60" s="19" t="str">
        <f t="shared" si="5"/>
        <v/>
      </c>
      <c r="V60" s="179">
        <f t="shared" si="6"/>
        <v>0</v>
      </c>
      <c r="W60" s="180">
        <f t="shared" si="53"/>
        <v>0</v>
      </c>
      <c r="X60" s="180">
        <f t="shared" si="54"/>
        <v>0</v>
      </c>
      <c r="Y60" s="180">
        <f t="shared" si="7"/>
        <v>0</v>
      </c>
      <c r="Z60" s="181">
        <f t="shared" si="55"/>
        <v>0</v>
      </c>
      <c r="AA60" s="179">
        <f t="shared" si="8"/>
        <v>0</v>
      </c>
      <c r="AB60" s="180">
        <f t="shared" si="56"/>
        <v>0</v>
      </c>
      <c r="AC60" s="180">
        <f t="shared" si="57"/>
        <v>0</v>
      </c>
      <c r="AD60" s="180">
        <f t="shared" si="58"/>
        <v>0</v>
      </c>
      <c r="AE60" s="181">
        <f t="shared" si="59"/>
        <v>0</v>
      </c>
      <c r="AF60" s="179">
        <f t="shared" si="9"/>
        <v>0</v>
      </c>
      <c r="AG60" s="180">
        <f t="shared" si="60"/>
        <v>0</v>
      </c>
      <c r="AH60" s="180">
        <f t="shared" si="61"/>
        <v>0</v>
      </c>
      <c r="AI60" s="180">
        <f t="shared" si="62"/>
        <v>0</v>
      </c>
      <c r="AJ60" s="181">
        <f t="shared" si="63"/>
        <v>0</v>
      </c>
      <c r="AK60" s="184" t="b">
        <f t="shared" si="10"/>
        <v>1</v>
      </c>
      <c r="AL60" s="265" t="b">
        <f t="shared" si="11"/>
        <v>1</v>
      </c>
      <c r="AM60" s="21" t="str">
        <f t="shared" si="12"/>
        <v/>
      </c>
      <c r="AN60" s="21" t="b">
        <f t="shared" si="13"/>
        <v>0</v>
      </c>
      <c r="AO60" s="186" t="b">
        <f>IF(OR(COUNTBLANK(D60:I60)=6,AND(COUNTBLANK(D60:G60)=4,H60=0)),OR(AN61:AN$67),NOT(AN60))</f>
        <v>0</v>
      </c>
      <c r="AP60" s="21" t="b">
        <f t="shared" si="14"/>
        <v>1</v>
      </c>
      <c r="AQ60" s="21" t="b">
        <f t="shared" si="64"/>
        <v>1</v>
      </c>
      <c r="AR60" s="22">
        <f t="shared" si="15"/>
        <v>0</v>
      </c>
      <c r="AS60" s="22" t="str">
        <f t="shared" si="16"/>
        <v/>
      </c>
      <c r="AT60" s="199" t="str">
        <f t="shared" si="65"/>
        <v/>
      </c>
      <c r="AU60" s="200" t="str">
        <f t="shared" si="17"/>
        <v/>
      </c>
      <c r="AV60" s="68" t="str">
        <f t="shared" si="18"/>
        <v/>
      </c>
      <c r="AW60" s="169"/>
      <c r="AX60" s="68" t="str">
        <f t="shared" si="66"/>
        <v/>
      </c>
      <c r="AY60" s="476"/>
      <c r="AZ60" s="476"/>
      <c r="BA60" s="189" t="b">
        <f t="shared" ca="1" si="19"/>
        <v>0</v>
      </c>
      <c r="BB60" s="190" t="b">
        <f t="shared" ca="1" si="20"/>
        <v>0</v>
      </c>
      <c r="BC60" s="191" t="b">
        <f t="shared" ca="1" si="21"/>
        <v>0</v>
      </c>
      <c r="BD60" s="189" t="b">
        <f t="shared" ca="1" si="22"/>
        <v>0</v>
      </c>
      <c r="BE60" s="189" t="b">
        <f t="shared" ca="1" si="23"/>
        <v>0</v>
      </c>
      <c r="BF60" s="190" t="b">
        <f t="shared" ca="1" si="24"/>
        <v>0</v>
      </c>
      <c r="BG60" s="191" t="b">
        <f t="shared" ca="1" si="25"/>
        <v>0</v>
      </c>
      <c r="BH60" s="189" t="b">
        <f t="shared" ca="1" si="26"/>
        <v>0</v>
      </c>
      <c r="BI60" s="190" t="b">
        <f t="shared" si="67"/>
        <v>0</v>
      </c>
      <c r="BJ60" s="192" t="b">
        <f t="shared" si="27"/>
        <v>0</v>
      </c>
      <c r="BK60" s="193" t="b">
        <f t="shared" si="28"/>
        <v>0</v>
      </c>
      <c r="BL60" s="176" t="str">
        <f t="shared" si="29"/>
        <v/>
      </c>
      <c r="BN60" s="142" t="str">
        <f t="shared" si="30"/>
        <v>no data</v>
      </c>
      <c r="BP60" s="51">
        <v>33</v>
      </c>
      <c r="BQ60" s="51" t="str">
        <f t="shared" si="31"/>
        <v>-</v>
      </c>
      <c r="BS60"/>
      <c r="BU60" s="73"/>
      <c r="BV60" s="27"/>
      <c r="BW60" s="276"/>
      <c r="BX60" s="276"/>
      <c r="BY60" s="417">
        <f t="shared" si="32"/>
        <v>33</v>
      </c>
      <c r="BZ60" s="344">
        <f t="shared" si="33"/>
        <v>0</v>
      </c>
      <c r="CA60" s="344">
        <f t="shared" si="34"/>
        <v>0</v>
      </c>
      <c r="CB60" s="345" t="str">
        <f t="shared" si="35"/>
        <v/>
      </c>
      <c r="CC60" s="346" t="str">
        <f>IF(AQ60,IF(ISNUMBER(#REF!),MAX('Adjustment factors'!$S$16,0.2+0.8*#REF!),IF(ISTEXT(J60),VLOOKUP(J60,Afactors,2,FALSE),"")),"")</f>
        <v/>
      </c>
      <c r="CD60" s="347" t="str">
        <f t="shared" si="36"/>
        <v/>
      </c>
      <c r="CE60" s="280"/>
      <c r="CF60" s="280"/>
      <c r="CG60" s="280"/>
      <c r="CH60" s="280"/>
      <c r="CI60" s="276"/>
      <c r="CJ60" s="276"/>
      <c r="CK60" s="276"/>
      <c r="CL60" s="276"/>
      <c r="CM60" s="276"/>
      <c r="CN60" s="276"/>
      <c r="CO60" s="276"/>
      <c r="CP60" s="276"/>
      <c r="CQ60" s="276"/>
      <c r="CR60" s="276"/>
      <c r="CS60" s="276"/>
      <c r="CU60" s="142" t="str">
        <f t="shared" si="37"/>
        <v>OK</v>
      </c>
      <c r="CV60" s="142" t="str">
        <f t="shared" si="38"/>
        <v>OK</v>
      </c>
      <c r="CW60" s="142" t="str">
        <f t="shared" si="39"/>
        <v>OK</v>
      </c>
      <c r="CX60" s="142" t="str">
        <f t="shared" si="40"/>
        <v>OK</v>
      </c>
      <c r="CY60" s="143" t="str">
        <f t="shared" si="41"/>
        <v>OK</v>
      </c>
      <c r="CZ60" s="132" t="str">
        <f t="shared" si="42"/>
        <v>OK</v>
      </c>
      <c r="DA60" s="132" t="str">
        <f t="shared" si="43"/>
        <v>OK</v>
      </c>
      <c r="DB60" s="132" t="str">
        <f t="shared" si="44"/>
        <v>OK</v>
      </c>
      <c r="DC60" s="132" t="str">
        <f>IF(AND(ISNUMBER(#REF!),J60&lt;&gt;FixedDim),"Select fixed dimming with an illuminance factor","OK")</f>
        <v>OK</v>
      </c>
      <c r="DD60" s="132" t="str">
        <f>IF(AND(NOT(ISNUMBER(#REF!)),J60=FixedDim),"Enter an illuminance factor","OK")</f>
        <v>OK</v>
      </c>
      <c r="DE60" s="132" t="str">
        <f t="shared" si="68"/>
        <v>OK</v>
      </c>
      <c r="DF60" s="267" t="str">
        <f t="shared" si="45"/>
        <v>OK</v>
      </c>
      <c r="DG60" s="267" t="str">
        <f t="shared" si="46"/>
        <v>OK</v>
      </c>
      <c r="DH60" s="267" t="str">
        <f t="shared" si="47"/>
        <v>OK</v>
      </c>
      <c r="DI60" s="143" t="str">
        <f t="shared" si="48"/>
        <v>OK</v>
      </c>
      <c r="DJ60" s="134">
        <f t="shared" si="49"/>
        <v>0</v>
      </c>
      <c r="DK60" s="133" t="str">
        <f t="shared" si="50"/>
        <v>OK</v>
      </c>
    </row>
    <row r="61" spans="1:115" ht="17.649999999999999" hidden="1" x14ac:dyDescent="0.5">
      <c r="A61" s="197"/>
      <c r="B61" s="416" t="str">
        <f t="shared" si="0"/>
        <v>-</v>
      </c>
      <c r="C61" s="342">
        <v>34</v>
      </c>
      <c r="D61" s="420"/>
      <c r="E61" s="421"/>
      <c r="F61" s="422"/>
      <c r="G61" s="423"/>
      <c r="H61" s="530"/>
      <c r="I61" s="530"/>
      <c r="J61" s="424"/>
      <c r="K61" s="428"/>
      <c r="L61" s="428"/>
      <c r="M61" s="429"/>
      <c r="N61" s="418" t="str">
        <f t="shared" si="1"/>
        <v/>
      </c>
      <c r="O61" s="418" t="str">
        <f t="shared" si="51"/>
        <v/>
      </c>
      <c r="P61" s="419" t="str">
        <f t="shared" si="2"/>
        <v/>
      </c>
      <c r="Q61" s="343"/>
      <c r="R61" s="67" t="str">
        <f t="shared" si="3"/>
        <v/>
      </c>
      <c r="S61" s="20" t="b">
        <f t="shared" si="4"/>
        <v>0</v>
      </c>
      <c r="T61" s="19" t="str">
        <f t="shared" si="52"/>
        <v/>
      </c>
      <c r="U61" s="19" t="str">
        <f t="shared" si="5"/>
        <v/>
      </c>
      <c r="V61" s="179">
        <f t="shared" si="6"/>
        <v>0</v>
      </c>
      <c r="W61" s="180">
        <f t="shared" si="53"/>
        <v>0</v>
      </c>
      <c r="X61" s="180">
        <f t="shared" si="54"/>
        <v>0</v>
      </c>
      <c r="Y61" s="180">
        <f t="shared" si="7"/>
        <v>0</v>
      </c>
      <c r="Z61" s="181">
        <f t="shared" si="55"/>
        <v>0</v>
      </c>
      <c r="AA61" s="179">
        <f t="shared" si="8"/>
        <v>0</v>
      </c>
      <c r="AB61" s="180">
        <f t="shared" si="56"/>
        <v>0</v>
      </c>
      <c r="AC61" s="180">
        <f t="shared" si="57"/>
        <v>0</v>
      </c>
      <c r="AD61" s="180">
        <f t="shared" si="58"/>
        <v>0</v>
      </c>
      <c r="AE61" s="181">
        <f t="shared" si="59"/>
        <v>0</v>
      </c>
      <c r="AF61" s="179">
        <f t="shared" si="9"/>
        <v>0</v>
      </c>
      <c r="AG61" s="180">
        <f t="shared" si="60"/>
        <v>0</v>
      </c>
      <c r="AH61" s="180">
        <f t="shared" si="61"/>
        <v>0</v>
      </c>
      <c r="AI61" s="180">
        <f t="shared" si="62"/>
        <v>0</v>
      </c>
      <c r="AJ61" s="181">
        <f t="shared" si="63"/>
        <v>0</v>
      </c>
      <c r="AK61" s="184" t="b">
        <f t="shared" si="10"/>
        <v>1</v>
      </c>
      <c r="AL61" s="265" t="b">
        <f t="shared" si="11"/>
        <v>1</v>
      </c>
      <c r="AM61" s="21" t="str">
        <f t="shared" si="12"/>
        <v/>
      </c>
      <c r="AN61" s="21" t="b">
        <f t="shared" si="13"/>
        <v>0</v>
      </c>
      <c r="AO61" s="186" t="b">
        <f>IF(OR(COUNTBLANK(D61:I61)=6,AND(COUNTBLANK(D61:G61)=4,H61=0)),OR(AN62:AN$67),NOT(AN61))</f>
        <v>0</v>
      </c>
      <c r="AP61" s="21" t="b">
        <f t="shared" si="14"/>
        <v>1</v>
      </c>
      <c r="AQ61" s="21" t="b">
        <f t="shared" si="64"/>
        <v>1</v>
      </c>
      <c r="AR61" s="22">
        <f t="shared" si="15"/>
        <v>0</v>
      </c>
      <c r="AS61" s="22" t="str">
        <f t="shared" si="16"/>
        <v/>
      </c>
      <c r="AT61" s="199" t="str">
        <f t="shared" si="65"/>
        <v/>
      </c>
      <c r="AU61" s="200" t="str">
        <f t="shared" si="17"/>
        <v/>
      </c>
      <c r="AV61" s="68" t="str">
        <f t="shared" si="18"/>
        <v/>
      </c>
      <c r="AW61" s="169"/>
      <c r="AX61" s="68" t="str">
        <f t="shared" si="66"/>
        <v/>
      </c>
      <c r="AY61" s="476"/>
      <c r="AZ61" s="476"/>
      <c r="BA61" s="189" t="b">
        <f t="shared" ca="1" si="19"/>
        <v>0</v>
      </c>
      <c r="BB61" s="190" t="b">
        <f t="shared" ca="1" si="20"/>
        <v>0</v>
      </c>
      <c r="BC61" s="191" t="b">
        <f t="shared" ca="1" si="21"/>
        <v>0</v>
      </c>
      <c r="BD61" s="189" t="b">
        <f t="shared" ca="1" si="22"/>
        <v>0</v>
      </c>
      <c r="BE61" s="189" t="b">
        <f t="shared" ca="1" si="23"/>
        <v>0</v>
      </c>
      <c r="BF61" s="190" t="b">
        <f t="shared" ca="1" si="24"/>
        <v>0</v>
      </c>
      <c r="BG61" s="191" t="b">
        <f t="shared" ca="1" si="25"/>
        <v>0</v>
      </c>
      <c r="BH61" s="189" t="b">
        <f t="shared" ca="1" si="26"/>
        <v>0</v>
      </c>
      <c r="BI61" s="190" t="b">
        <f t="shared" si="67"/>
        <v>0</v>
      </c>
      <c r="BJ61" s="192" t="b">
        <f t="shared" si="27"/>
        <v>0</v>
      </c>
      <c r="BK61" s="193" t="b">
        <f t="shared" si="28"/>
        <v>0</v>
      </c>
      <c r="BL61" s="176" t="str">
        <f t="shared" si="29"/>
        <v/>
      </c>
      <c r="BN61" s="142" t="str">
        <f t="shared" si="30"/>
        <v>no data</v>
      </c>
      <c r="BP61" s="51">
        <v>34</v>
      </c>
      <c r="BQ61" s="51" t="str">
        <f t="shared" si="31"/>
        <v>-</v>
      </c>
      <c r="BS61"/>
      <c r="BU61" s="73"/>
      <c r="BV61" s="27"/>
      <c r="BW61" s="276"/>
      <c r="BX61" s="276"/>
      <c r="BY61" s="417">
        <f t="shared" si="32"/>
        <v>34</v>
      </c>
      <c r="BZ61" s="344">
        <f t="shared" si="33"/>
        <v>0</v>
      </c>
      <c r="CA61" s="344">
        <f t="shared" si="34"/>
        <v>0</v>
      </c>
      <c r="CB61" s="345" t="str">
        <f t="shared" si="35"/>
        <v/>
      </c>
      <c r="CC61" s="346" t="str">
        <f>IF(AQ61,IF(ISNUMBER(#REF!),MAX('Adjustment factors'!$S$16,0.2+0.8*#REF!),IF(ISTEXT(J61),VLOOKUP(J61,Afactors,2,FALSE),"")),"")</f>
        <v/>
      </c>
      <c r="CD61" s="347" t="str">
        <f t="shared" si="36"/>
        <v/>
      </c>
      <c r="CE61" s="280"/>
      <c r="CF61" s="280"/>
      <c r="CG61" s="280"/>
      <c r="CH61" s="280"/>
      <c r="CI61" s="276"/>
      <c r="CJ61" s="276"/>
      <c r="CK61" s="276"/>
      <c r="CL61" s="276"/>
      <c r="CM61" s="276"/>
      <c r="CN61" s="276"/>
      <c r="CO61" s="276"/>
      <c r="CP61" s="276"/>
      <c r="CQ61" s="276"/>
      <c r="CR61" s="276"/>
      <c r="CS61" s="276"/>
      <c r="CU61" s="142" t="str">
        <f t="shared" si="37"/>
        <v>OK</v>
      </c>
      <c r="CV61" s="142" t="str">
        <f t="shared" si="38"/>
        <v>OK</v>
      </c>
      <c r="CW61" s="142" t="str">
        <f t="shared" si="39"/>
        <v>OK</v>
      </c>
      <c r="CX61" s="142" t="str">
        <f t="shared" si="40"/>
        <v>OK</v>
      </c>
      <c r="CY61" s="143" t="str">
        <f t="shared" si="41"/>
        <v>OK</v>
      </c>
      <c r="CZ61" s="132" t="str">
        <f t="shared" si="42"/>
        <v>OK</v>
      </c>
      <c r="DA61" s="132" t="str">
        <f t="shared" si="43"/>
        <v>OK</v>
      </c>
      <c r="DB61" s="132" t="str">
        <f t="shared" si="44"/>
        <v>OK</v>
      </c>
      <c r="DC61" s="132" t="str">
        <f>IF(AND(ISNUMBER(#REF!),J61&lt;&gt;FixedDim),"Select fixed dimming with an illuminance factor","OK")</f>
        <v>OK</v>
      </c>
      <c r="DD61" s="132" t="str">
        <f>IF(AND(NOT(ISNUMBER(#REF!)),J61=FixedDim),"Enter an illuminance factor","OK")</f>
        <v>OK</v>
      </c>
      <c r="DE61" s="132" t="str">
        <f t="shared" si="68"/>
        <v>OK</v>
      </c>
      <c r="DF61" s="267" t="str">
        <f t="shared" si="45"/>
        <v>OK</v>
      </c>
      <c r="DG61" s="267" t="str">
        <f t="shared" si="46"/>
        <v>OK</v>
      </c>
      <c r="DH61" s="267" t="str">
        <f t="shared" si="47"/>
        <v>OK</v>
      </c>
      <c r="DI61" s="143" t="str">
        <f t="shared" si="48"/>
        <v>OK</v>
      </c>
      <c r="DJ61" s="134">
        <f t="shared" si="49"/>
        <v>0</v>
      </c>
      <c r="DK61" s="133" t="str">
        <f t="shared" si="50"/>
        <v>OK</v>
      </c>
    </row>
    <row r="62" spans="1:115" ht="17.649999999999999" hidden="1" x14ac:dyDescent="0.5">
      <c r="A62" s="197"/>
      <c r="B62" s="416" t="str">
        <f t="shared" si="0"/>
        <v>-</v>
      </c>
      <c r="C62" s="342">
        <v>35</v>
      </c>
      <c r="D62" s="420"/>
      <c r="E62" s="421"/>
      <c r="F62" s="422"/>
      <c r="G62" s="423"/>
      <c r="H62" s="530"/>
      <c r="I62" s="530"/>
      <c r="J62" s="424"/>
      <c r="K62" s="428"/>
      <c r="L62" s="428"/>
      <c r="M62" s="429"/>
      <c r="N62" s="418" t="str">
        <f t="shared" si="1"/>
        <v/>
      </c>
      <c r="O62" s="418" t="str">
        <f t="shared" si="51"/>
        <v/>
      </c>
      <c r="P62" s="419" t="str">
        <f t="shared" si="2"/>
        <v/>
      </c>
      <c r="Q62" s="343"/>
      <c r="R62" s="67" t="str">
        <f t="shared" si="3"/>
        <v/>
      </c>
      <c r="S62" s="20" t="b">
        <f t="shared" si="4"/>
        <v>0</v>
      </c>
      <c r="T62" s="19" t="str">
        <f t="shared" si="52"/>
        <v/>
      </c>
      <c r="U62" s="19" t="str">
        <f t="shared" si="5"/>
        <v/>
      </c>
      <c r="V62" s="179">
        <f t="shared" si="6"/>
        <v>0</v>
      </c>
      <c r="W62" s="180">
        <f t="shared" si="53"/>
        <v>0</v>
      </c>
      <c r="X62" s="180">
        <f t="shared" si="54"/>
        <v>0</v>
      </c>
      <c r="Y62" s="180">
        <f t="shared" si="7"/>
        <v>0</v>
      </c>
      <c r="Z62" s="181">
        <f t="shared" si="55"/>
        <v>0</v>
      </c>
      <c r="AA62" s="179">
        <f t="shared" si="8"/>
        <v>0</v>
      </c>
      <c r="AB62" s="180">
        <f t="shared" si="56"/>
        <v>0</v>
      </c>
      <c r="AC62" s="180">
        <f t="shared" si="57"/>
        <v>0</v>
      </c>
      <c r="AD62" s="180">
        <f t="shared" si="58"/>
        <v>0</v>
      </c>
      <c r="AE62" s="181">
        <f t="shared" si="59"/>
        <v>0</v>
      </c>
      <c r="AF62" s="179">
        <f t="shared" si="9"/>
        <v>0</v>
      </c>
      <c r="AG62" s="180">
        <f t="shared" si="60"/>
        <v>0</v>
      </c>
      <c r="AH62" s="180">
        <f t="shared" si="61"/>
        <v>0</v>
      </c>
      <c r="AI62" s="180">
        <f t="shared" si="62"/>
        <v>0</v>
      </c>
      <c r="AJ62" s="181">
        <f t="shared" si="63"/>
        <v>0</v>
      </c>
      <c r="AK62" s="184" t="b">
        <f t="shared" si="10"/>
        <v>1</v>
      </c>
      <c r="AL62" s="265" t="b">
        <f t="shared" si="11"/>
        <v>1</v>
      </c>
      <c r="AM62" s="21" t="str">
        <f t="shared" si="12"/>
        <v/>
      </c>
      <c r="AN62" s="21" t="b">
        <f t="shared" si="13"/>
        <v>0</v>
      </c>
      <c r="AO62" s="186" t="b">
        <f>IF(OR(COUNTBLANK(D62:I62)=6,AND(COUNTBLANK(D62:G62)=4,H62=0)),OR(AN63:AN$67),NOT(AN62))</f>
        <v>0</v>
      </c>
      <c r="AP62" s="21" t="b">
        <f t="shared" si="14"/>
        <v>1</v>
      </c>
      <c r="AQ62" s="21" t="b">
        <f t="shared" si="64"/>
        <v>1</v>
      </c>
      <c r="AR62" s="22">
        <f t="shared" si="15"/>
        <v>0</v>
      </c>
      <c r="AS62" s="22" t="str">
        <f t="shared" si="16"/>
        <v/>
      </c>
      <c r="AT62" s="199" t="str">
        <f t="shared" si="65"/>
        <v/>
      </c>
      <c r="AU62" s="200" t="str">
        <f t="shared" si="17"/>
        <v/>
      </c>
      <c r="AV62" s="68" t="str">
        <f t="shared" si="18"/>
        <v/>
      </c>
      <c r="AW62" s="169"/>
      <c r="AX62" s="68" t="str">
        <f t="shared" si="66"/>
        <v/>
      </c>
      <c r="AY62" s="476"/>
      <c r="AZ62" s="476"/>
      <c r="BA62" s="189" t="b">
        <f t="shared" ca="1" si="19"/>
        <v>0</v>
      </c>
      <c r="BB62" s="190" t="b">
        <f t="shared" ca="1" si="20"/>
        <v>0</v>
      </c>
      <c r="BC62" s="191" t="b">
        <f t="shared" ca="1" si="21"/>
        <v>0</v>
      </c>
      <c r="BD62" s="189" t="b">
        <f t="shared" ca="1" si="22"/>
        <v>0</v>
      </c>
      <c r="BE62" s="189" t="b">
        <f t="shared" ca="1" si="23"/>
        <v>0</v>
      </c>
      <c r="BF62" s="190" t="b">
        <f t="shared" ca="1" si="24"/>
        <v>0</v>
      </c>
      <c r="BG62" s="191" t="b">
        <f t="shared" ca="1" si="25"/>
        <v>0</v>
      </c>
      <c r="BH62" s="189" t="b">
        <f t="shared" ca="1" si="26"/>
        <v>0</v>
      </c>
      <c r="BI62" s="190" t="b">
        <f t="shared" si="67"/>
        <v>0</v>
      </c>
      <c r="BJ62" s="192" t="b">
        <f t="shared" si="27"/>
        <v>0</v>
      </c>
      <c r="BK62" s="193" t="b">
        <f t="shared" si="28"/>
        <v>0</v>
      </c>
      <c r="BL62" s="176" t="str">
        <f t="shared" si="29"/>
        <v/>
      </c>
      <c r="BN62" s="142" t="str">
        <f t="shared" si="30"/>
        <v>no data</v>
      </c>
      <c r="BP62" s="51">
        <v>35</v>
      </c>
      <c r="BQ62" s="51" t="str">
        <f t="shared" si="31"/>
        <v>-</v>
      </c>
      <c r="BS62"/>
      <c r="BU62" s="73"/>
      <c r="BV62" s="27"/>
      <c r="BW62" s="276"/>
      <c r="BX62" s="276"/>
      <c r="BY62" s="417">
        <f t="shared" si="32"/>
        <v>35</v>
      </c>
      <c r="BZ62" s="344">
        <f t="shared" si="33"/>
        <v>0</v>
      </c>
      <c r="CA62" s="344">
        <f t="shared" si="34"/>
        <v>0</v>
      </c>
      <c r="CB62" s="345" t="str">
        <f t="shared" si="35"/>
        <v/>
      </c>
      <c r="CC62" s="346" t="str">
        <f>IF(AQ62,IF(ISNUMBER(#REF!),MAX('Adjustment factors'!$S$16,0.2+0.8*#REF!),IF(ISTEXT(J62),VLOOKUP(J62,Afactors,2,FALSE),"")),"")</f>
        <v/>
      </c>
      <c r="CD62" s="347" t="str">
        <f t="shared" si="36"/>
        <v/>
      </c>
      <c r="CE62" s="280"/>
      <c r="CF62" s="280"/>
      <c r="CG62" s="280"/>
      <c r="CH62" s="280"/>
      <c r="CI62" s="276"/>
      <c r="CJ62" s="276"/>
      <c r="CK62" s="276"/>
      <c r="CL62" s="276"/>
      <c r="CM62" s="276"/>
      <c r="CN62" s="276"/>
      <c r="CO62" s="276"/>
      <c r="CP62" s="276"/>
      <c r="CQ62" s="276"/>
      <c r="CR62" s="276"/>
      <c r="CS62" s="276"/>
      <c r="CU62" s="142" t="str">
        <f t="shared" si="37"/>
        <v>OK</v>
      </c>
      <c r="CV62" s="142" t="str">
        <f t="shared" si="38"/>
        <v>OK</v>
      </c>
      <c r="CW62" s="142" t="str">
        <f t="shared" si="39"/>
        <v>OK</v>
      </c>
      <c r="CX62" s="142" t="str">
        <f t="shared" si="40"/>
        <v>OK</v>
      </c>
      <c r="CY62" s="143" t="str">
        <f t="shared" si="41"/>
        <v>OK</v>
      </c>
      <c r="CZ62" s="132" t="str">
        <f t="shared" si="42"/>
        <v>OK</v>
      </c>
      <c r="DA62" s="132" t="str">
        <f t="shared" si="43"/>
        <v>OK</v>
      </c>
      <c r="DB62" s="132" t="str">
        <f t="shared" si="44"/>
        <v>OK</v>
      </c>
      <c r="DC62" s="132" t="str">
        <f>IF(AND(ISNUMBER(#REF!),J62&lt;&gt;FixedDim),"Select fixed dimming with an illuminance factor","OK")</f>
        <v>OK</v>
      </c>
      <c r="DD62" s="132" t="str">
        <f>IF(AND(NOT(ISNUMBER(#REF!)),J62=FixedDim),"Enter an illuminance factor","OK")</f>
        <v>OK</v>
      </c>
      <c r="DE62" s="132" t="str">
        <f t="shared" si="68"/>
        <v>OK</v>
      </c>
      <c r="DF62" s="267" t="str">
        <f t="shared" si="45"/>
        <v>OK</v>
      </c>
      <c r="DG62" s="267" t="str">
        <f t="shared" si="46"/>
        <v>OK</v>
      </c>
      <c r="DH62" s="267" t="str">
        <f t="shared" si="47"/>
        <v>OK</v>
      </c>
      <c r="DI62" s="143" t="str">
        <f t="shared" si="48"/>
        <v>OK</v>
      </c>
      <c r="DJ62" s="134">
        <f t="shared" si="49"/>
        <v>0</v>
      </c>
      <c r="DK62" s="133" t="str">
        <f t="shared" si="50"/>
        <v>OK</v>
      </c>
    </row>
    <row r="63" spans="1:115" ht="17.649999999999999" hidden="1" x14ac:dyDescent="0.5">
      <c r="A63" s="197"/>
      <c r="B63" s="416" t="str">
        <f t="shared" si="0"/>
        <v>-</v>
      </c>
      <c r="C63" s="342">
        <v>36</v>
      </c>
      <c r="D63" s="420"/>
      <c r="E63" s="421"/>
      <c r="F63" s="422"/>
      <c r="G63" s="423"/>
      <c r="H63" s="530"/>
      <c r="I63" s="530"/>
      <c r="J63" s="424"/>
      <c r="K63" s="428"/>
      <c r="L63" s="428"/>
      <c r="M63" s="429"/>
      <c r="N63" s="418" t="str">
        <f t="shared" si="1"/>
        <v/>
      </c>
      <c r="O63" s="418" t="str">
        <f t="shared" si="51"/>
        <v/>
      </c>
      <c r="P63" s="419" t="str">
        <f t="shared" si="2"/>
        <v/>
      </c>
      <c r="Q63" s="343"/>
      <c r="R63" s="67" t="str">
        <f t="shared" si="3"/>
        <v/>
      </c>
      <c r="S63" s="20" t="b">
        <f t="shared" si="4"/>
        <v>0</v>
      </c>
      <c r="T63" s="19" t="str">
        <f t="shared" si="52"/>
        <v/>
      </c>
      <c r="U63" s="19" t="str">
        <f t="shared" si="5"/>
        <v/>
      </c>
      <c r="V63" s="179">
        <f t="shared" si="6"/>
        <v>0</v>
      </c>
      <c r="W63" s="180">
        <f t="shared" si="53"/>
        <v>0</v>
      </c>
      <c r="X63" s="180">
        <f t="shared" si="54"/>
        <v>0</v>
      </c>
      <c r="Y63" s="180">
        <f t="shared" si="7"/>
        <v>0</v>
      </c>
      <c r="Z63" s="181">
        <f t="shared" si="55"/>
        <v>0</v>
      </c>
      <c r="AA63" s="179">
        <f t="shared" si="8"/>
        <v>0</v>
      </c>
      <c r="AB63" s="180">
        <f t="shared" si="56"/>
        <v>0</v>
      </c>
      <c r="AC63" s="180">
        <f t="shared" si="57"/>
        <v>0</v>
      </c>
      <c r="AD63" s="180">
        <f t="shared" si="58"/>
        <v>0</v>
      </c>
      <c r="AE63" s="181">
        <f t="shared" si="59"/>
        <v>0</v>
      </c>
      <c r="AF63" s="179">
        <f t="shared" si="9"/>
        <v>0</v>
      </c>
      <c r="AG63" s="180">
        <f t="shared" si="60"/>
        <v>0</v>
      </c>
      <c r="AH63" s="180">
        <f t="shared" si="61"/>
        <v>0</v>
      </c>
      <c r="AI63" s="180">
        <f t="shared" si="62"/>
        <v>0</v>
      </c>
      <c r="AJ63" s="181">
        <f t="shared" si="63"/>
        <v>0</v>
      </c>
      <c r="AK63" s="184" t="b">
        <f t="shared" si="10"/>
        <v>1</v>
      </c>
      <c r="AL63" s="265" t="b">
        <f t="shared" si="11"/>
        <v>1</v>
      </c>
      <c r="AM63" s="21" t="str">
        <f t="shared" si="12"/>
        <v/>
      </c>
      <c r="AN63" s="21" t="b">
        <f t="shared" si="13"/>
        <v>0</v>
      </c>
      <c r="AO63" s="186" t="b">
        <f>IF(OR(COUNTBLANK(D63:I63)=6,AND(COUNTBLANK(D63:G63)=4,H63=0)),OR(AN64:AN$67),NOT(AN63))</f>
        <v>0</v>
      </c>
      <c r="AP63" s="21" t="b">
        <f t="shared" si="14"/>
        <v>1</v>
      </c>
      <c r="AQ63" s="21" t="b">
        <f t="shared" si="64"/>
        <v>1</v>
      </c>
      <c r="AR63" s="22">
        <f t="shared" si="15"/>
        <v>0</v>
      </c>
      <c r="AS63" s="22" t="str">
        <f t="shared" si="16"/>
        <v/>
      </c>
      <c r="AT63" s="199" t="str">
        <f t="shared" si="65"/>
        <v/>
      </c>
      <c r="AU63" s="200" t="str">
        <f t="shared" si="17"/>
        <v/>
      </c>
      <c r="AV63" s="68" t="str">
        <f t="shared" si="18"/>
        <v/>
      </c>
      <c r="AW63" s="169"/>
      <c r="AX63" s="68" t="str">
        <f t="shared" si="66"/>
        <v/>
      </c>
      <c r="AY63" s="476"/>
      <c r="AZ63" s="476"/>
      <c r="BA63" s="189" t="b">
        <f t="shared" ca="1" si="19"/>
        <v>0</v>
      </c>
      <c r="BB63" s="190" t="b">
        <f t="shared" ca="1" si="20"/>
        <v>0</v>
      </c>
      <c r="BC63" s="191" t="b">
        <f t="shared" ca="1" si="21"/>
        <v>0</v>
      </c>
      <c r="BD63" s="189" t="b">
        <f t="shared" ca="1" si="22"/>
        <v>0</v>
      </c>
      <c r="BE63" s="189" t="b">
        <f t="shared" ca="1" si="23"/>
        <v>0</v>
      </c>
      <c r="BF63" s="190" t="b">
        <f t="shared" ca="1" si="24"/>
        <v>0</v>
      </c>
      <c r="BG63" s="191" t="b">
        <f t="shared" ca="1" si="25"/>
        <v>0</v>
      </c>
      <c r="BH63" s="189" t="b">
        <f t="shared" ca="1" si="26"/>
        <v>0</v>
      </c>
      <c r="BI63" s="190" t="b">
        <f t="shared" si="67"/>
        <v>0</v>
      </c>
      <c r="BJ63" s="192" t="b">
        <f t="shared" si="27"/>
        <v>0</v>
      </c>
      <c r="BK63" s="193" t="b">
        <f t="shared" si="28"/>
        <v>0</v>
      </c>
      <c r="BL63" s="176" t="str">
        <f t="shared" si="29"/>
        <v/>
      </c>
      <c r="BN63" s="142" t="str">
        <f t="shared" si="30"/>
        <v>no data</v>
      </c>
      <c r="BP63" s="51">
        <v>36</v>
      </c>
      <c r="BQ63" s="51" t="str">
        <f t="shared" si="31"/>
        <v>-</v>
      </c>
      <c r="BS63"/>
      <c r="BU63" s="73"/>
      <c r="BV63" s="27"/>
      <c r="BW63" s="276"/>
      <c r="BX63" s="276"/>
      <c r="BY63" s="417">
        <f t="shared" si="32"/>
        <v>36</v>
      </c>
      <c r="BZ63" s="344">
        <f t="shared" si="33"/>
        <v>0</v>
      </c>
      <c r="CA63" s="344">
        <f t="shared" si="34"/>
        <v>0</v>
      </c>
      <c r="CB63" s="345" t="str">
        <f t="shared" si="35"/>
        <v/>
      </c>
      <c r="CC63" s="346" t="str">
        <f>IF(AQ63,IF(ISNUMBER(#REF!),MAX('Adjustment factors'!$S$16,0.2+0.8*#REF!),IF(ISTEXT(J63),VLOOKUP(J63,Afactors,2,FALSE),"")),"")</f>
        <v/>
      </c>
      <c r="CD63" s="347" t="str">
        <f t="shared" si="36"/>
        <v/>
      </c>
      <c r="CE63" s="280"/>
      <c r="CF63" s="280"/>
      <c r="CG63" s="280"/>
      <c r="CH63" s="280"/>
      <c r="CI63" s="276"/>
      <c r="CJ63" s="276"/>
      <c r="CK63" s="276"/>
      <c r="CL63" s="276"/>
      <c r="CM63" s="276"/>
      <c r="CN63" s="276"/>
      <c r="CO63" s="276"/>
      <c r="CP63" s="276"/>
      <c r="CQ63" s="276"/>
      <c r="CR63" s="276"/>
      <c r="CS63" s="276"/>
      <c r="CU63" s="142" t="str">
        <f t="shared" si="37"/>
        <v>OK</v>
      </c>
      <c r="CV63" s="142" t="str">
        <f t="shared" si="38"/>
        <v>OK</v>
      </c>
      <c r="CW63" s="142" t="str">
        <f t="shared" si="39"/>
        <v>OK</v>
      </c>
      <c r="CX63" s="142" t="str">
        <f t="shared" si="40"/>
        <v>OK</v>
      </c>
      <c r="CY63" s="143" t="str">
        <f t="shared" si="41"/>
        <v>OK</v>
      </c>
      <c r="CZ63" s="132" t="str">
        <f t="shared" si="42"/>
        <v>OK</v>
      </c>
      <c r="DA63" s="132" t="str">
        <f t="shared" si="43"/>
        <v>OK</v>
      </c>
      <c r="DB63" s="132" t="str">
        <f t="shared" si="44"/>
        <v>OK</v>
      </c>
      <c r="DC63" s="132" t="str">
        <f>IF(AND(ISNUMBER(#REF!),J63&lt;&gt;FixedDim),"Select fixed dimming with an illuminance factor","OK")</f>
        <v>OK</v>
      </c>
      <c r="DD63" s="132" t="str">
        <f>IF(AND(NOT(ISNUMBER(#REF!)),J63=FixedDim),"Enter an illuminance factor","OK")</f>
        <v>OK</v>
      </c>
      <c r="DE63" s="132" t="str">
        <f t="shared" si="68"/>
        <v>OK</v>
      </c>
      <c r="DF63" s="267" t="str">
        <f t="shared" si="45"/>
        <v>OK</v>
      </c>
      <c r="DG63" s="267" t="str">
        <f t="shared" si="46"/>
        <v>OK</v>
      </c>
      <c r="DH63" s="267" t="str">
        <f t="shared" si="47"/>
        <v>OK</v>
      </c>
      <c r="DI63" s="143" t="str">
        <f t="shared" si="48"/>
        <v>OK</v>
      </c>
      <c r="DJ63" s="134">
        <f t="shared" si="49"/>
        <v>0</v>
      </c>
      <c r="DK63" s="133" t="str">
        <f t="shared" si="50"/>
        <v>OK</v>
      </c>
    </row>
    <row r="64" spans="1:115" ht="17.649999999999999" hidden="1" x14ac:dyDescent="0.5">
      <c r="A64" s="197"/>
      <c r="B64" s="416" t="str">
        <f t="shared" si="0"/>
        <v>-</v>
      </c>
      <c r="C64" s="342">
        <v>37</v>
      </c>
      <c r="D64" s="420"/>
      <c r="E64" s="421"/>
      <c r="F64" s="422"/>
      <c r="G64" s="423"/>
      <c r="H64" s="530"/>
      <c r="I64" s="530"/>
      <c r="J64" s="424"/>
      <c r="K64" s="428"/>
      <c r="L64" s="428"/>
      <c r="M64" s="429"/>
      <c r="N64" s="418" t="str">
        <f t="shared" si="1"/>
        <v/>
      </c>
      <c r="O64" s="418" t="str">
        <f t="shared" si="51"/>
        <v/>
      </c>
      <c r="P64" s="419" t="str">
        <f t="shared" si="2"/>
        <v/>
      </c>
      <c r="Q64" s="343"/>
      <c r="R64" s="67" t="str">
        <f t="shared" si="3"/>
        <v/>
      </c>
      <c r="S64" s="20" t="b">
        <f t="shared" si="4"/>
        <v>0</v>
      </c>
      <c r="T64" s="19" t="str">
        <f t="shared" si="52"/>
        <v/>
      </c>
      <c r="U64" s="19" t="str">
        <f t="shared" si="5"/>
        <v/>
      </c>
      <c r="V64" s="179">
        <f t="shared" si="6"/>
        <v>0</v>
      </c>
      <c r="W64" s="180">
        <f t="shared" si="53"/>
        <v>0</v>
      </c>
      <c r="X64" s="180">
        <f t="shared" si="54"/>
        <v>0</v>
      </c>
      <c r="Y64" s="180">
        <f t="shared" si="7"/>
        <v>0</v>
      </c>
      <c r="Z64" s="181">
        <f t="shared" si="55"/>
        <v>0</v>
      </c>
      <c r="AA64" s="179">
        <f t="shared" si="8"/>
        <v>0</v>
      </c>
      <c r="AB64" s="180">
        <f t="shared" si="56"/>
        <v>0</v>
      </c>
      <c r="AC64" s="180">
        <f t="shared" si="57"/>
        <v>0</v>
      </c>
      <c r="AD64" s="180">
        <f t="shared" si="58"/>
        <v>0</v>
      </c>
      <c r="AE64" s="181">
        <f t="shared" si="59"/>
        <v>0</v>
      </c>
      <c r="AF64" s="179">
        <f t="shared" si="9"/>
        <v>0</v>
      </c>
      <c r="AG64" s="180">
        <f t="shared" si="60"/>
        <v>0</v>
      </c>
      <c r="AH64" s="180">
        <f t="shared" si="61"/>
        <v>0</v>
      </c>
      <c r="AI64" s="180">
        <f t="shared" si="62"/>
        <v>0</v>
      </c>
      <c r="AJ64" s="181">
        <f t="shared" si="63"/>
        <v>0</v>
      </c>
      <c r="AK64" s="184" t="b">
        <f t="shared" si="10"/>
        <v>1</v>
      </c>
      <c r="AL64" s="265" t="b">
        <f t="shared" si="11"/>
        <v>1</v>
      </c>
      <c r="AM64" s="21" t="str">
        <f t="shared" si="12"/>
        <v/>
      </c>
      <c r="AN64" s="21" t="b">
        <f t="shared" si="13"/>
        <v>0</v>
      </c>
      <c r="AO64" s="186" t="b">
        <f>IF(OR(COUNTBLANK(D64:I64)=6,AND(COUNTBLANK(D64:G64)=4,H64=0)),OR(AN65:AN$67),NOT(AN64))</f>
        <v>0</v>
      </c>
      <c r="AP64" s="21" t="b">
        <f t="shared" si="14"/>
        <v>1</v>
      </c>
      <c r="AQ64" s="21" t="b">
        <f t="shared" si="64"/>
        <v>1</v>
      </c>
      <c r="AR64" s="22">
        <f t="shared" si="15"/>
        <v>0</v>
      </c>
      <c r="AS64" s="22" t="str">
        <f t="shared" si="16"/>
        <v/>
      </c>
      <c r="AT64" s="199" t="str">
        <f t="shared" si="65"/>
        <v/>
      </c>
      <c r="AU64" s="200" t="str">
        <f t="shared" si="17"/>
        <v/>
      </c>
      <c r="AV64" s="68" t="str">
        <f t="shared" si="18"/>
        <v/>
      </c>
      <c r="AW64" s="169"/>
      <c r="AX64" s="68" t="str">
        <f t="shared" si="66"/>
        <v/>
      </c>
      <c r="AY64" s="476"/>
      <c r="AZ64" s="476"/>
      <c r="BA64" s="189" t="b">
        <f t="shared" ca="1" si="19"/>
        <v>0</v>
      </c>
      <c r="BB64" s="190" t="b">
        <f t="shared" ca="1" si="20"/>
        <v>0</v>
      </c>
      <c r="BC64" s="191" t="b">
        <f t="shared" ca="1" si="21"/>
        <v>0</v>
      </c>
      <c r="BD64" s="189" t="b">
        <f t="shared" ca="1" si="22"/>
        <v>0</v>
      </c>
      <c r="BE64" s="189" t="b">
        <f t="shared" ca="1" si="23"/>
        <v>0</v>
      </c>
      <c r="BF64" s="190" t="b">
        <f t="shared" ca="1" si="24"/>
        <v>0</v>
      </c>
      <c r="BG64" s="191" t="b">
        <f t="shared" ca="1" si="25"/>
        <v>0</v>
      </c>
      <c r="BH64" s="189" t="b">
        <f t="shared" ca="1" si="26"/>
        <v>0</v>
      </c>
      <c r="BI64" s="190" t="b">
        <f t="shared" si="67"/>
        <v>0</v>
      </c>
      <c r="BJ64" s="192" t="b">
        <f t="shared" si="27"/>
        <v>0</v>
      </c>
      <c r="BK64" s="193" t="b">
        <f t="shared" si="28"/>
        <v>0</v>
      </c>
      <c r="BL64" s="176" t="str">
        <f t="shared" si="29"/>
        <v/>
      </c>
      <c r="BN64" s="142" t="str">
        <f t="shared" si="30"/>
        <v>no data</v>
      </c>
      <c r="BP64" s="51">
        <v>37</v>
      </c>
      <c r="BQ64" s="51" t="str">
        <f t="shared" si="31"/>
        <v>-</v>
      </c>
      <c r="BS64"/>
      <c r="BU64" s="73"/>
      <c r="BV64" s="27"/>
      <c r="BW64" s="276"/>
      <c r="BX64" s="276"/>
      <c r="BY64" s="417">
        <f t="shared" si="32"/>
        <v>37</v>
      </c>
      <c r="BZ64" s="344">
        <f t="shared" si="33"/>
        <v>0</v>
      </c>
      <c r="CA64" s="344">
        <f t="shared" si="34"/>
        <v>0</v>
      </c>
      <c r="CB64" s="345" t="str">
        <f t="shared" si="35"/>
        <v/>
      </c>
      <c r="CC64" s="346" t="str">
        <f>IF(AQ64,IF(ISNUMBER(#REF!),MAX('Adjustment factors'!$S$16,0.2+0.8*#REF!),IF(ISTEXT(J64),VLOOKUP(J64,Afactors,2,FALSE),"")),"")</f>
        <v/>
      </c>
      <c r="CD64" s="347" t="str">
        <f t="shared" si="36"/>
        <v/>
      </c>
      <c r="CE64" s="280"/>
      <c r="CF64" s="280"/>
      <c r="CG64" s="280"/>
      <c r="CH64" s="280"/>
      <c r="CI64" s="276"/>
      <c r="CJ64" s="276"/>
      <c r="CK64" s="276"/>
      <c r="CL64" s="276"/>
      <c r="CM64" s="276"/>
      <c r="CN64" s="276"/>
      <c r="CO64" s="276"/>
      <c r="CP64" s="276"/>
      <c r="CQ64" s="276"/>
      <c r="CR64" s="276"/>
      <c r="CS64" s="276"/>
      <c r="CU64" s="142" t="str">
        <f t="shared" si="37"/>
        <v>OK</v>
      </c>
      <c r="CV64" s="142" t="str">
        <f t="shared" si="38"/>
        <v>OK</v>
      </c>
      <c r="CW64" s="142" t="str">
        <f t="shared" si="39"/>
        <v>OK</v>
      </c>
      <c r="CX64" s="142" t="str">
        <f t="shared" si="40"/>
        <v>OK</v>
      </c>
      <c r="CY64" s="143" t="str">
        <f t="shared" si="41"/>
        <v>OK</v>
      </c>
      <c r="CZ64" s="132" t="str">
        <f t="shared" si="42"/>
        <v>OK</v>
      </c>
      <c r="DA64" s="132" t="str">
        <f t="shared" si="43"/>
        <v>OK</v>
      </c>
      <c r="DB64" s="132" t="str">
        <f t="shared" si="44"/>
        <v>OK</v>
      </c>
      <c r="DC64" s="132" t="str">
        <f>IF(AND(ISNUMBER(#REF!),J64&lt;&gt;FixedDim),"Select fixed dimming with an illuminance factor","OK")</f>
        <v>OK</v>
      </c>
      <c r="DD64" s="132" t="str">
        <f>IF(AND(NOT(ISNUMBER(#REF!)),J64=FixedDim),"Enter an illuminance factor","OK")</f>
        <v>OK</v>
      </c>
      <c r="DE64" s="132" t="str">
        <f t="shared" si="68"/>
        <v>OK</v>
      </c>
      <c r="DF64" s="267" t="str">
        <f t="shared" si="45"/>
        <v>OK</v>
      </c>
      <c r="DG64" s="267" t="str">
        <f t="shared" si="46"/>
        <v>OK</v>
      </c>
      <c r="DH64" s="267" t="str">
        <f t="shared" si="47"/>
        <v>OK</v>
      </c>
      <c r="DI64" s="143" t="str">
        <f t="shared" si="48"/>
        <v>OK</v>
      </c>
      <c r="DJ64" s="134">
        <f t="shared" si="49"/>
        <v>0</v>
      </c>
      <c r="DK64" s="133" t="str">
        <f t="shared" si="50"/>
        <v>OK</v>
      </c>
    </row>
    <row r="65" spans="1:116" ht="17.649999999999999" hidden="1" x14ac:dyDescent="0.5">
      <c r="A65" s="197"/>
      <c r="B65" s="416" t="str">
        <f t="shared" si="0"/>
        <v>-</v>
      </c>
      <c r="C65" s="342">
        <v>38</v>
      </c>
      <c r="D65" s="420"/>
      <c r="E65" s="421"/>
      <c r="F65" s="422"/>
      <c r="G65" s="423"/>
      <c r="H65" s="530"/>
      <c r="I65" s="530"/>
      <c r="J65" s="424"/>
      <c r="K65" s="428"/>
      <c r="L65" s="428"/>
      <c r="M65" s="429"/>
      <c r="N65" s="418" t="str">
        <f t="shared" si="1"/>
        <v/>
      </c>
      <c r="O65" s="418" t="str">
        <f t="shared" si="51"/>
        <v/>
      </c>
      <c r="P65" s="419" t="str">
        <f t="shared" si="2"/>
        <v/>
      </c>
      <c r="Q65" s="343"/>
      <c r="R65" s="67" t="str">
        <f t="shared" si="3"/>
        <v/>
      </c>
      <c r="S65" s="20" t="b">
        <f t="shared" si="4"/>
        <v>0</v>
      </c>
      <c r="T65" s="19" t="str">
        <f t="shared" si="52"/>
        <v/>
      </c>
      <c r="U65" s="19" t="str">
        <f t="shared" si="5"/>
        <v/>
      </c>
      <c r="V65" s="179">
        <f t="shared" si="6"/>
        <v>0</v>
      </c>
      <c r="W65" s="180">
        <f t="shared" si="53"/>
        <v>0</v>
      </c>
      <c r="X65" s="180">
        <f t="shared" si="54"/>
        <v>0</v>
      </c>
      <c r="Y65" s="180">
        <f t="shared" si="7"/>
        <v>0</v>
      </c>
      <c r="Z65" s="181">
        <f t="shared" si="55"/>
        <v>0</v>
      </c>
      <c r="AA65" s="179">
        <f t="shared" si="8"/>
        <v>0</v>
      </c>
      <c r="AB65" s="180">
        <f t="shared" si="56"/>
        <v>0</v>
      </c>
      <c r="AC65" s="180">
        <f t="shared" si="57"/>
        <v>0</v>
      </c>
      <c r="AD65" s="180">
        <f t="shared" si="58"/>
        <v>0</v>
      </c>
      <c r="AE65" s="181">
        <f t="shared" si="59"/>
        <v>0</v>
      </c>
      <c r="AF65" s="179">
        <f t="shared" si="9"/>
        <v>0</v>
      </c>
      <c r="AG65" s="180">
        <f t="shared" si="60"/>
        <v>0</v>
      </c>
      <c r="AH65" s="180">
        <f t="shared" si="61"/>
        <v>0</v>
      </c>
      <c r="AI65" s="180">
        <f t="shared" si="62"/>
        <v>0</v>
      </c>
      <c r="AJ65" s="181">
        <f t="shared" si="63"/>
        <v>0</v>
      </c>
      <c r="AK65" s="184" t="b">
        <f t="shared" si="10"/>
        <v>1</v>
      </c>
      <c r="AL65" s="265" t="b">
        <f t="shared" si="11"/>
        <v>1</v>
      </c>
      <c r="AM65" s="21" t="str">
        <f t="shared" si="12"/>
        <v/>
      </c>
      <c r="AN65" s="21" t="b">
        <f t="shared" si="13"/>
        <v>0</v>
      </c>
      <c r="AO65" s="186" t="b">
        <f>IF(OR(COUNTBLANK(D65:I65)=6,AND(COUNTBLANK(D65:G65)=4,H65=0)),OR(AN66:AN$67),NOT(AN65))</f>
        <v>0</v>
      </c>
      <c r="AP65" s="21" t="b">
        <f t="shared" si="14"/>
        <v>1</v>
      </c>
      <c r="AQ65" s="21" t="b">
        <f t="shared" si="64"/>
        <v>1</v>
      </c>
      <c r="AR65" s="22">
        <f t="shared" si="15"/>
        <v>0</v>
      </c>
      <c r="AS65" s="22" t="str">
        <f t="shared" si="16"/>
        <v/>
      </c>
      <c r="AT65" s="199" t="str">
        <f t="shared" si="65"/>
        <v/>
      </c>
      <c r="AU65" s="200" t="str">
        <f t="shared" si="17"/>
        <v/>
      </c>
      <c r="AV65" s="68" t="str">
        <f t="shared" si="18"/>
        <v/>
      </c>
      <c r="AW65" s="169"/>
      <c r="AX65" s="68" t="str">
        <f t="shared" si="66"/>
        <v/>
      </c>
      <c r="AY65" s="476"/>
      <c r="AZ65" s="476"/>
      <c r="BA65" s="189" t="b">
        <f t="shared" ca="1" si="19"/>
        <v>0</v>
      </c>
      <c r="BB65" s="190" t="b">
        <f t="shared" ca="1" si="20"/>
        <v>0</v>
      </c>
      <c r="BC65" s="191" t="b">
        <f t="shared" ca="1" si="21"/>
        <v>0</v>
      </c>
      <c r="BD65" s="189" t="b">
        <f t="shared" ca="1" si="22"/>
        <v>0</v>
      </c>
      <c r="BE65" s="189" t="b">
        <f t="shared" ca="1" si="23"/>
        <v>0</v>
      </c>
      <c r="BF65" s="190" t="b">
        <f t="shared" ca="1" si="24"/>
        <v>0</v>
      </c>
      <c r="BG65" s="191" t="b">
        <f t="shared" ca="1" si="25"/>
        <v>0</v>
      </c>
      <c r="BH65" s="189" t="b">
        <f t="shared" ca="1" si="26"/>
        <v>0</v>
      </c>
      <c r="BI65" s="190" t="b">
        <f t="shared" si="67"/>
        <v>0</v>
      </c>
      <c r="BJ65" s="192" t="b">
        <f t="shared" si="27"/>
        <v>0</v>
      </c>
      <c r="BK65" s="193" t="b">
        <f t="shared" si="28"/>
        <v>0</v>
      </c>
      <c r="BL65" s="176" t="str">
        <f t="shared" si="29"/>
        <v/>
      </c>
      <c r="BN65" s="142" t="str">
        <f t="shared" si="30"/>
        <v>no data</v>
      </c>
      <c r="BP65" s="51">
        <v>38</v>
      </c>
      <c r="BQ65" s="51" t="str">
        <f t="shared" si="31"/>
        <v>-</v>
      </c>
      <c r="BS65"/>
      <c r="BU65" s="73"/>
      <c r="BV65" s="27"/>
      <c r="BW65" s="276"/>
      <c r="BX65" s="276"/>
      <c r="BY65" s="417">
        <f t="shared" si="32"/>
        <v>38</v>
      </c>
      <c r="BZ65" s="344">
        <f t="shared" si="33"/>
        <v>0</v>
      </c>
      <c r="CA65" s="344">
        <f t="shared" si="34"/>
        <v>0</v>
      </c>
      <c r="CB65" s="345" t="str">
        <f t="shared" si="35"/>
        <v/>
      </c>
      <c r="CC65" s="346" t="str">
        <f>IF(AQ65,IF(ISNUMBER(#REF!),MAX('Adjustment factors'!$S$16,0.2+0.8*#REF!),IF(ISTEXT(J65),VLOOKUP(J65,Afactors,2,FALSE),"")),"")</f>
        <v/>
      </c>
      <c r="CD65" s="347" t="str">
        <f t="shared" si="36"/>
        <v/>
      </c>
      <c r="CE65" s="280"/>
      <c r="CF65" s="280"/>
      <c r="CG65" s="280"/>
      <c r="CH65" s="280"/>
      <c r="CI65" s="276"/>
      <c r="CJ65" s="276"/>
      <c r="CK65" s="276"/>
      <c r="CL65" s="276"/>
      <c r="CM65" s="276"/>
      <c r="CN65" s="276"/>
      <c r="CO65" s="276"/>
      <c r="CP65" s="276"/>
      <c r="CQ65" s="276"/>
      <c r="CR65" s="276"/>
      <c r="CS65" s="276"/>
      <c r="CU65" s="142" t="str">
        <f t="shared" si="37"/>
        <v>OK</v>
      </c>
      <c r="CV65" s="142" t="str">
        <f t="shared" si="38"/>
        <v>OK</v>
      </c>
      <c r="CW65" s="142" t="str">
        <f t="shared" si="39"/>
        <v>OK</v>
      </c>
      <c r="CX65" s="142" t="str">
        <f t="shared" si="40"/>
        <v>OK</v>
      </c>
      <c r="CY65" s="143" t="str">
        <f t="shared" si="41"/>
        <v>OK</v>
      </c>
      <c r="CZ65" s="132" t="str">
        <f t="shared" si="42"/>
        <v>OK</v>
      </c>
      <c r="DA65" s="132" t="str">
        <f t="shared" si="43"/>
        <v>OK</v>
      </c>
      <c r="DB65" s="132" t="str">
        <f t="shared" si="44"/>
        <v>OK</v>
      </c>
      <c r="DC65" s="132" t="str">
        <f>IF(AND(ISNUMBER(#REF!),J65&lt;&gt;FixedDim),"Select fixed dimming with an illuminance factor","OK")</f>
        <v>OK</v>
      </c>
      <c r="DD65" s="132" t="str">
        <f>IF(AND(NOT(ISNUMBER(#REF!)),J65=FixedDim),"Enter an illuminance factor","OK")</f>
        <v>OK</v>
      </c>
      <c r="DE65" s="132" t="str">
        <f t="shared" si="68"/>
        <v>OK</v>
      </c>
      <c r="DF65" s="267" t="str">
        <f t="shared" si="45"/>
        <v>OK</v>
      </c>
      <c r="DG65" s="267" t="str">
        <f t="shared" si="46"/>
        <v>OK</v>
      </c>
      <c r="DH65" s="267" t="str">
        <f t="shared" si="47"/>
        <v>OK</v>
      </c>
      <c r="DI65" s="143" t="str">
        <f t="shared" si="48"/>
        <v>OK</v>
      </c>
      <c r="DJ65" s="134">
        <f t="shared" si="49"/>
        <v>0</v>
      </c>
      <c r="DK65" s="133" t="str">
        <f t="shared" si="50"/>
        <v>OK</v>
      </c>
    </row>
    <row r="66" spans="1:116" ht="17.649999999999999" hidden="1" x14ac:dyDescent="0.5">
      <c r="A66" s="197"/>
      <c r="B66" s="416" t="str">
        <f t="shared" si="0"/>
        <v>-</v>
      </c>
      <c r="C66" s="342">
        <v>39</v>
      </c>
      <c r="D66" s="420"/>
      <c r="E66" s="421"/>
      <c r="F66" s="422"/>
      <c r="G66" s="423"/>
      <c r="H66" s="530"/>
      <c r="I66" s="530"/>
      <c r="J66" s="424"/>
      <c r="K66" s="428"/>
      <c r="L66" s="428"/>
      <c r="M66" s="429"/>
      <c r="N66" s="418" t="str">
        <f t="shared" si="1"/>
        <v/>
      </c>
      <c r="O66" s="418" t="str">
        <f t="shared" si="51"/>
        <v/>
      </c>
      <c r="P66" s="419" t="str">
        <f t="shared" si="2"/>
        <v/>
      </c>
      <c r="Q66" s="343"/>
      <c r="R66" s="67" t="str">
        <f t="shared" si="3"/>
        <v/>
      </c>
      <c r="S66" s="20" t="b">
        <f t="shared" si="4"/>
        <v>0</v>
      </c>
      <c r="T66" s="19" t="str">
        <f t="shared" si="52"/>
        <v/>
      </c>
      <c r="U66" s="19" t="str">
        <f t="shared" si="5"/>
        <v/>
      </c>
      <c r="V66" s="179">
        <f t="shared" si="6"/>
        <v>0</v>
      </c>
      <c r="W66" s="180">
        <f t="shared" si="53"/>
        <v>0</v>
      </c>
      <c r="X66" s="180">
        <f t="shared" si="54"/>
        <v>0</v>
      </c>
      <c r="Y66" s="180">
        <f t="shared" si="7"/>
        <v>0</v>
      </c>
      <c r="Z66" s="181">
        <f t="shared" si="55"/>
        <v>0</v>
      </c>
      <c r="AA66" s="179">
        <f t="shared" si="8"/>
        <v>0</v>
      </c>
      <c r="AB66" s="180">
        <f t="shared" si="56"/>
        <v>0</v>
      </c>
      <c r="AC66" s="180">
        <f t="shared" si="57"/>
        <v>0</v>
      </c>
      <c r="AD66" s="180">
        <f t="shared" si="58"/>
        <v>0</v>
      </c>
      <c r="AE66" s="181">
        <f t="shared" si="59"/>
        <v>0</v>
      </c>
      <c r="AF66" s="179">
        <f t="shared" si="9"/>
        <v>0</v>
      </c>
      <c r="AG66" s="180">
        <f t="shared" si="60"/>
        <v>0</v>
      </c>
      <c r="AH66" s="180">
        <f t="shared" si="61"/>
        <v>0</v>
      </c>
      <c r="AI66" s="180">
        <f t="shared" si="62"/>
        <v>0</v>
      </c>
      <c r="AJ66" s="181">
        <f t="shared" si="63"/>
        <v>0</v>
      </c>
      <c r="AK66" s="184" t="b">
        <f t="shared" si="10"/>
        <v>1</v>
      </c>
      <c r="AL66" s="265" t="b">
        <f t="shared" si="11"/>
        <v>1</v>
      </c>
      <c r="AM66" s="21" t="str">
        <f t="shared" si="12"/>
        <v/>
      </c>
      <c r="AN66" s="21" t="b">
        <f t="shared" si="13"/>
        <v>0</v>
      </c>
      <c r="AO66" s="186" t="b">
        <f>IF(OR(COUNTBLANK(D66:I66)=6,AND(COUNTBLANK(D66:G66)=4,H66=0)),OR(AN67:AN$67),NOT(AN66))</f>
        <v>0</v>
      </c>
      <c r="AP66" s="21" t="b">
        <f t="shared" si="14"/>
        <v>1</v>
      </c>
      <c r="AQ66" s="21" t="b">
        <f t="shared" si="64"/>
        <v>1</v>
      </c>
      <c r="AR66" s="22">
        <f t="shared" si="15"/>
        <v>0</v>
      </c>
      <c r="AS66" s="22" t="str">
        <f t="shared" si="16"/>
        <v/>
      </c>
      <c r="AT66" s="199" t="str">
        <f t="shared" si="65"/>
        <v/>
      </c>
      <c r="AU66" s="200" t="str">
        <f t="shared" si="17"/>
        <v/>
      </c>
      <c r="AV66" s="68" t="str">
        <f t="shared" si="18"/>
        <v/>
      </c>
      <c r="AW66" s="169"/>
      <c r="AX66" s="68" t="str">
        <f t="shared" si="66"/>
        <v/>
      </c>
      <c r="AY66" s="476"/>
      <c r="AZ66" s="476"/>
      <c r="BA66" s="189" t="b">
        <f t="shared" ca="1" si="19"/>
        <v>0</v>
      </c>
      <c r="BB66" s="190" t="b">
        <f t="shared" ca="1" si="20"/>
        <v>0</v>
      </c>
      <c r="BC66" s="191" t="b">
        <f t="shared" ca="1" si="21"/>
        <v>0</v>
      </c>
      <c r="BD66" s="189" t="b">
        <f t="shared" ca="1" si="22"/>
        <v>0</v>
      </c>
      <c r="BE66" s="189" t="b">
        <f t="shared" ca="1" si="23"/>
        <v>0</v>
      </c>
      <c r="BF66" s="190" t="b">
        <f t="shared" ca="1" si="24"/>
        <v>0</v>
      </c>
      <c r="BG66" s="191" t="b">
        <f t="shared" ca="1" si="25"/>
        <v>0</v>
      </c>
      <c r="BH66" s="189" t="b">
        <f t="shared" ca="1" si="26"/>
        <v>0</v>
      </c>
      <c r="BI66" s="190" t="b">
        <f t="shared" si="67"/>
        <v>0</v>
      </c>
      <c r="BJ66" s="192" t="b">
        <f t="shared" si="27"/>
        <v>0</v>
      </c>
      <c r="BK66" s="193" t="b">
        <f t="shared" si="28"/>
        <v>0</v>
      </c>
      <c r="BL66" s="176" t="str">
        <f t="shared" si="29"/>
        <v/>
      </c>
      <c r="BN66" s="142" t="str">
        <f t="shared" si="30"/>
        <v>no data</v>
      </c>
      <c r="BP66" s="51">
        <v>39</v>
      </c>
      <c r="BQ66" s="51" t="str">
        <f t="shared" si="31"/>
        <v>-</v>
      </c>
      <c r="BS66"/>
      <c r="BU66" s="73"/>
      <c r="BV66" s="27"/>
      <c r="BW66" s="276"/>
      <c r="BX66" s="276"/>
      <c r="BY66" s="417">
        <f t="shared" si="32"/>
        <v>39</v>
      </c>
      <c r="BZ66" s="344">
        <f t="shared" si="33"/>
        <v>0</v>
      </c>
      <c r="CA66" s="344">
        <f t="shared" si="34"/>
        <v>0</v>
      </c>
      <c r="CB66" s="345" t="str">
        <f t="shared" si="35"/>
        <v/>
      </c>
      <c r="CC66" s="346" t="str">
        <f>IF(AQ66,IF(ISNUMBER(#REF!),MAX('Adjustment factors'!$S$16,0.2+0.8*#REF!),IF(ISTEXT(J66),VLOOKUP(J66,Afactors,2,FALSE),"")),"")</f>
        <v/>
      </c>
      <c r="CD66" s="347" t="str">
        <f t="shared" si="36"/>
        <v/>
      </c>
      <c r="CE66" s="280"/>
      <c r="CF66" s="280"/>
      <c r="CG66" s="280"/>
      <c r="CH66" s="280"/>
      <c r="CI66" s="276"/>
      <c r="CJ66" s="276"/>
      <c r="CK66" s="276"/>
      <c r="CL66" s="276"/>
      <c r="CM66" s="276"/>
      <c r="CN66" s="276"/>
      <c r="CO66" s="276"/>
      <c r="CP66" s="276"/>
      <c r="CQ66" s="276"/>
      <c r="CR66" s="276"/>
      <c r="CS66" s="276"/>
      <c r="CU66" s="142" t="str">
        <f t="shared" si="37"/>
        <v>OK</v>
      </c>
      <c r="CV66" s="142" t="str">
        <f t="shared" si="38"/>
        <v>OK</v>
      </c>
      <c r="CW66" s="142" t="str">
        <f t="shared" si="39"/>
        <v>OK</v>
      </c>
      <c r="CX66" s="142" t="str">
        <f t="shared" si="40"/>
        <v>OK</v>
      </c>
      <c r="CY66" s="143" t="str">
        <f t="shared" si="41"/>
        <v>OK</v>
      </c>
      <c r="CZ66" s="132" t="str">
        <f t="shared" si="42"/>
        <v>OK</v>
      </c>
      <c r="DA66" s="132" t="str">
        <f t="shared" si="43"/>
        <v>OK</v>
      </c>
      <c r="DB66" s="132" t="str">
        <f t="shared" si="44"/>
        <v>OK</v>
      </c>
      <c r="DC66" s="132" t="str">
        <f>IF(AND(ISNUMBER(#REF!),J66&lt;&gt;FixedDim),"Select fixed dimming with an illuminance factor","OK")</f>
        <v>OK</v>
      </c>
      <c r="DD66" s="132" t="str">
        <f>IF(AND(NOT(ISNUMBER(#REF!)),J66=FixedDim),"Enter an illuminance factor","OK")</f>
        <v>OK</v>
      </c>
      <c r="DE66" s="132" t="str">
        <f t="shared" si="68"/>
        <v>OK</v>
      </c>
      <c r="DF66" s="267" t="str">
        <f t="shared" si="45"/>
        <v>OK</v>
      </c>
      <c r="DG66" s="267" t="str">
        <f t="shared" si="46"/>
        <v>OK</v>
      </c>
      <c r="DH66" s="267" t="str">
        <f t="shared" si="47"/>
        <v>OK</v>
      </c>
      <c r="DI66" s="143" t="str">
        <f t="shared" si="48"/>
        <v>OK</v>
      </c>
      <c r="DJ66" s="134">
        <f t="shared" si="49"/>
        <v>0</v>
      </c>
      <c r="DK66" s="133" t="str">
        <f t="shared" si="50"/>
        <v>OK</v>
      </c>
    </row>
    <row r="67" spans="1:116" ht="17.649999999999999" hidden="1" x14ac:dyDescent="0.5">
      <c r="A67" s="197"/>
      <c r="B67" s="416" t="str">
        <f t="shared" si="0"/>
        <v>-</v>
      </c>
      <c r="C67" s="342">
        <v>40</v>
      </c>
      <c r="D67" s="420"/>
      <c r="E67" s="421"/>
      <c r="F67" s="422"/>
      <c r="G67" s="423"/>
      <c r="H67" s="530"/>
      <c r="I67" s="530"/>
      <c r="J67" s="424"/>
      <c r="K67" s="428"/>
      <c r="L67" s="428"/>
      <c r="M67" s="429"/>
      <c r="N67" s="418" t="str">
        <f t="shared" si="1"/>
        <v/>
      </c>
      <c r="O67" s="418" t="str">
        <f t="shared" si="51"/>
        <v/>
      </c>
      <c r="P67" s="419" t="str">
        <f t="shared" si="2"/>
        <v/>
      </c>
      <c r="Q67" s="343"/>
      <c r="R67" s="67" t="str">
        <f t="shared" si="3"/>
        <v/>
      </c>
      <c r="S67" s="20" t="b">
        <f t="shared" si="4"/>
        <v>0</v>
      </c>
      <c r="T67" s="19" t="str">
        <f t="shared" si="52"/>
        <v/>
      </c>
      <c r="U67" s="19" t="str">
        <f t="shared" si="5"/>
        <v/>
      </c>
      <c r="V67" s="179">
        <f t="shared" si="6"/>
        <v>0</v>
      </c>
      <c r="W67" s="180">
        <f t="shared" si="53"/>
        <v>0</v>
      </c>
      <c r="X67" s="180">
        <f t="shared" si="54"/>
        <v>0</v>
      </c>
      <c r="Y67" s="180">
        <f t="shared" si="7"/>
        <v>0</v>
      </c>
      <c r="Z67" s="181">
        <f t="shared" si="55"/>
        <v>0</v>
      </c>
      <c r="AA67" s="179">
        <f t="shared" si="8"/>
        <v>0</v>
      </c>
      <c r="AB67" s="180">
        <f t="shared" si="56"/>
        <v>0</v>
      </c>
      <c r="AC67" s="180">
        <f t="shared" si="57"/>
        <v>0</v>
      </c>
      <c r="AD67" s="180">
        <f t="shared" si="58"/>
        <v>0</v>
      </c>
      <c r="AE67" s="181">
        <f t="shared" si="59"/>
        <v>0</v>
      </c>
      <c r="AF67" s="179">
        <f t="shared" si="9"/>
        <v>0</v>
      </c>
      <c r="AG67" s="180">
        <f t="shared" si="60"/>
        <v>0</v>
      </c>
      <c r="AH67" s="180">
        <f t="shared" si="61"/>
        <v>0</v>
      </c>
      <c r="AI67" s="180">
        <f t="shared" si="62"/>
        <v>0</v>
      </c>
      <c r="AJ67" s="181">
        <f t="shared" si="63"/>
        <v>0</v>
      </c>
      <c r="AK67" s="184" t="b">
        <f t="shared" si="10"/>
        <v>1</v>
      </c>
      <c r="AL67" s="265" t="b">
        <f t="shared" si="11"/>
        <v>1</v>
      </c>
      <c r="AM67" s="21" t="str">
        <f t="shared" si="12"/>
        <v/>
      </c>
      <c r="AN67" s="21" t="b">
        <f t="shared" si="13"/>
        <v>0</v>
      </c>
      <c r="AO67" s="186" t="b">
        <f>IF(OR(COUNTBLANK(D67:I67)=6,AND(COUNTBLANK(D67:G67)=4,H67=0)),OR(AN$67:AN69),NOT(AN67))</f>
        <v>0</v>
      </c>
      <c r="AP67" s="21" t="b">
        <f t="shared" si="14"/>
        <v>1</v>
      </c>
      <c r="AQ67" s="21" t="b">
        <f t="shared" si="64"/>
        <v>1</v>
      </c>
      <c r="AR67" s="22">
        <f t="shared" si="15"/>
        <v>0</v>
      </c>
      <c r="AS67" s="22" t="str">
        <f t="shared" si="16"/>
        <v/>
      </c>
      <c r="AT67" s="199" t="str">
        <f t="shared" si="65"/>
        <v/>
      </c>
      <c r="AU67" s="200" t="str">
        <f t="shared" si="17"/>
        <v/>
      </c>
      <c r="AV67" s="68" t="str">
        <f t="shared" si="18"/>
        <v/>
      </c>
      <c r="AW67" s="169"/>
      <c r="AX67" s="68" t="str">
        <f t="shared" si="66"/>
        <v/>
      </c>
      <c r="AY67" s="477"/>
      <c r="AZ67" s="477"/>
      <c r="BA67" s="189" t="b">
        <f t="shared" ca="1" si="19"/>
        <v>0</v>
      </c>
      <c r="BB67" s="190" t="b">
        <f t="shared" ca="1" si="20"/>
        <v>0</v>
      </c>
      <c r="BC67" s="191" t="b">
        <f t="shared" ca="1" si="21"/>
        <v>0</v>
      </c>
      <c r="BD67" s="189" t="b">
        <f t="shared" ca="1" si="22"/>
        <v>0</v>
      </c>
      <c r="BE67" s="189" t="b">
        <f t="shared" ca="1" si="23"/>
        <v>0</v>
      </c>
      <c r="BF67" s="190" t="b">
        <f t="shared" ca="1" si="24"/>
        <v>0</v>
      </c>
      <c r="BG67" s="191" t="b">
        <f t="shared" ca="1" si="25"/>
        <v>0</v>
      </c>
      <c r="BH67" s="189" t="b">
        <f t="shared" ca="1" si="26"/>
        <v>0</v>
      </c>
      <c r="BI67" s="190" t="b">
        <f t="shared" si="67"/>
        <v>0</v>
      </c>
      <c r="BJ67" s="192" t="b">
        <f t="shared" si="27"/>
        <v>0</v>
      </c>
      <c r="BK67" s="193" t="b">
        <f t="shared" si="28"/>
        <v>0</v>
      </c>
      <c r="BL67" s="176" t="str">
        <f t="shared" si="29"/>
        <v/>
      </c>
      <c r="BN67" s="142" t="str">
        <f t="shared" si="30"/>
        <v>no data</v>
      </c>
      <c r="BP67" s="51">
        <v>40</v>
      </c>
      <c r="BQ67" s="51" t="str">
        <f t="shared" si="31"/>
        <v>-</v>
      </c>
      <c r="BS67"/>
      <c r="BU67" s="73"/>
      <c r="BV67" s="27"/>
      <c r="BW67" s="276"/>
      <c r="BX67" s="276"/>
      <c r="BY67" s="417">
        <f t="shared" si="32"/>
        <v>40</v>
      </c>
      <c r="BZ67" s="344">
        <f t="shared" si="33"/>
        <v>0</v>
      </c>
      <c r="CA67" s="344">
        <f t="shared" si="34"/>
        <v>0</v>
      </c>
      <c r="CB67" s="345" t="str">
        <f t="shared" si="35"/>
        <v/>
      </c>
      <c r="CC67" s="346" t="str">
        <f>IF(AQ67,IF(ISNUMBER(#REF!),MAX('Adjustment factors'!$S$16,0.2+0.8*#REF!),IF(ISTEXT(J67),VLOOKUP(J67,Afactors,2,FALSE),"")),"")</f>
        <v/>
      </c>
      <c r="CD67" s="347" t="str">
        <f t="shared" si="36"/>
        <v/>
      </c>
      <c r="CE67" s="280"/>
      <c r="CF67" s="280"/>
      <c r="CG67" s="280"/>
      <c r="CH67" s="280"/>
      <c r="CI67" s="276"/>
      <c r="CJ67" s="276"/>
      <c r="CK67" s="276"/>
      <c r="CL67" s="276"/>
      <c r="CM67" s="276"/>
      <c r="CN67" s="276"/>
      <c r="CO67" s="276"/>
      <c r="CP67" s="276"/>
      <c r="CQ67" s="276"/>
      <c r="CR67" s="276"/>
      <c r="CS67" s="276"/>
      <c r="CU67" s="142" t="str">
        <f t="shared" si="37"/>
        <v>OK</v>
      </c>
      <c r="CV67" s="142" t="str">
        <f t="shared" si="38"/>
        <v>OK</v>
      </c>
      <c r="CW67" s="142" t="str">
        <f t="shared" si="39"/>
        <v>OK</v>
      </c>
      <c r="CX67" s="142" t="str">
        <f t="shared" si="40"/>
        <v>OK</v>
      </c>
      <c r="CY67" s="143" t="str">
        <f t="shared" si="41"/>
        <v>OK</v>
      </c>
      <c r="CZ67" s="132" t="str">
        <f t="shared" si="42"/>
        <v>OK</v>
      </c>
      <c r="DA67" s="132" t="str">
        <f t="shared" si="43"/>
        <v>OK</v>
      </c>
      <c r="DB67" s="132" t="str">
        <f t="shared" si="44"/>
        <v>OK</v>
      </c>
      <c r="DC67" s="132" t="str">
        <f>IF(AND(ISNUMBER(#REF!),J67&lt;&gt;FixedDim),"Select fixed dimming with an illuminance factor","OK")</f>
        <v>OK</v>
      </c>
      <c r="DD67" s="132" t="str">
        <f>IF(AND(NOT(ISNUMBER(#REF!)),J67=FixedDim),"Enter an illuminance factor","OK")</f>
        <v>OK</v>
      </c>
      <c r="DE67" s="132" t="str">
        <f t="shared" si="68"/>
        <v>OK</v>
      </c>
      <c r="DF67" s="267" t="str">
        <f t="shared" si="45"/>
        <v>OK</v>
      </c>
      <c r="DG67" s="267" t="str">
        <f t="shared" si="46"/>
        <v>OK</v>
      </c>
      <c r="DH67" s="267" t="str">
        <f t="shared" si="47"/>
        <v>OK</v>
      </c>
      <c r="DI67" s="143" t="str">
        <f t="shared" si="48"/>
        <v>OK</v>
      </c>
      <c r="DJ67" s="134">
        <f t="shared" si="49"/>
        <v>0</v>
      </c>
      <c r="DK67" s="133" t="str">
        <f t="shared" si="50"/>
        <v>OK</v>
      </c>
    </row>
    <row r="68" spans="1:116" ht="17.25" x14ac:dyDescent="0.45">
      <c r="A68" s="197"/>
      <c r="B68" s="348"/>
      <c r="C68" s="348"/>
      <c r="D68" s="348"/>
      <c r="E68" s="348"/>
      <c r="F68" s="348"/>
      <c r="G68" s="348"/>
      <c r="H68" s="348"/>
      <c r="I68" s="348"/>
      <c r="J68" s="348"/>
      <c r="K68" s="348"/>
      <c r="L68" s="348"/>
      <c r="M68" s="348"/>
      <c r="N68" s="348"/>
      <c r="O68" s="348"/>
      <c r="P68" s="348"/>
      <c r="Q68" s="348"/>
      <c r="R68" s="203"/>
      <c r="S68" s="203"/>
      <c r="T68" s="203"/>
      <c r="U68" s="203"/>
      <c r="V68" s="203"/>
      <c r="W68" s="203"/>
      <c r="X68" s="203"/>
      <c r="Y68" s="203"/>
      <c r="Z68" s="203"/>
      <c r="AA68" s="203"/>
      <c r="AB68" s="203"/>
      <c r="AC68" s="203"/>
      <c r="AD68" s="203"/>
      <c r="AE68" s="203"/>
      <c r="AF68" s="203"/>
      <c r="AG68" s="203"/>
      <c r="AH68" s="203"/>
      <c r="AI68" s="203"/>
      <c r="AJ68" s="203"/>
      <c r="AK68" s="184"/>
      <c r="AL68" s="265"/>
      <c r="AM68" s="21"/>
      <c r="AN68" s="203"/>
      <c r="AO68" s="203"/>
      <c r="AP68" s="203"/>
      <c r="AQ68" s="203"/>
      <c r="AR68" s="203"/>
      <c r="AS68" s="203"/>
      <c r="AT68" s="203"/>
      <c r="AU68" s="203"/>
      <c r="AV68" s="241"/>
      <c r="AW68" s="203"/>
      <c r="AX68" s="203"/>
      <c r="AY68" s="203"/>
      <c r="AZ68" s="203"/>
      <c r="BA68" s="203"/>
      <c r="BB68" s="203"/>
      <c r="BC68" s="203"/>
      <c r="BD68" s="203"/>
      <c r="BE68" s="203"/>
      <c r="BF68" s="203"/>
      <c r="BG68" s="203"/>
      <c r="BH68" s="203"/>
      <c r="BI68" s="203"/>
      <c r="BJ68" s="203"/>
      <c r="BK68" s="203"/>
      <c r="BL68" s="203"/>
      <c r="BM68" s="203"/>
      <c r="BN68" s="203"/>
      <c r="BO68" s="203"/>
      <c r="BP68" s="203"/>
      <c r="BQ68" s="203"/>
      <c r="BR68" s="203"/>
      <c r="BS68" s="203"/>
      <c r="BT68" s="203"/>
      <c r="BU68" s="73"/>
      <c r="BV68" s="59"/>
      <c r="BW68" s="280"/>
      <c r="BX68" s="285"/>
      <c r="BY68" s="348"/>
      <c r="BZ68" s="348"/>
      <c r="CA68" s="348"/>
      <c r="CB68" s="348"/>
      <c r="CC68" s="348"/>
      <c r="CD68" s="348"/>
      <c r="CE68" s="348"/>
      <c r="CF68" s="348"/>
      <c r="CG68" s="280"/>
      <c r="CH68" s="280"/>
      <c r="CI68" s="280"/>
      <c r="CJ68" s="276"/>
      <c r="CK68" s="276"/>
      <c r="CL68" s="276"/>
      <c r="CM68" s="276"/>
      <c r="CN68" s="276"/>
      <c r="CO68" s="276"/>
      <c r="CP68" s="276"/>
      <c r="CQ68" s="276"/>
      <c r="CR68" s="276"/>
      <c r="CS68" s="276"/>
      <c r="CT68" s="276"/>
      <c r="CU68" s="203"/>
      <c r="CV68" s="203"/>
      <c r="CW68" s="203"/>
      <c r="CX68" s="203"/>
      <c r="CY68" s="203"/>
      <c r="CZ68" s="203"/>
      <c r="DA68" s="203"/>
      <c r="DB68" s="203"/>
      <c r="DC68" s="203"/>
      <c r="DD68" s="132"/>
      <c r="DE68" s="203"/>
      <c r="DF68" s="203"/>
      <c r="DG68" s="203"/>
      <c r="DH68" s="203"/>
      <c r="DI68" s="203"/>
      <c r="DJ68" s="203"/>
      <c r="DK68" s="203"/>
      <c r="DL68" s="203"/>
    </row>
    <row r="69" spans="1:116" ht="35.25" customHeight="1" thickBot="1" x14ac:dyDescent="0.5">
      <c r="A69" s="27"/>
      <c r="B69" s="348"/>
      <c r="C69" s="349"/>
      <c r="D69" s="350"/>
      <c r="E69" s="350"/>
      <c r="F69" s="350"/>
      <c r="G69" s="351"/>
      <c r="H69" s="352"/>
      <c r="I69" s="350"/>
      <c r="J69" s="352"/>
      <c r="K69" s="352"/>
      <c r="L69" s="352"/>
      <c r="M69" s="352"/>
      <c r="N69" s="353" t="str">
        <f ca="1">IFERROR(IF(I112,"Allowance",""),"")</f>
        <v/>
      </c>
      <c r="O69" s="354" t="str">
        <f ca="1">IFERROR(IF(I112,"Design Average",""),"")</f>
        <v/>
      </c>
      <c r="P69" s="355"/>
      <c r="Q69" s="343"/>
      <c r="R69" s="9"/>
      <c r="S69" s="9"/>
      <c r="T69" s="9"/>
      <c r="U69" s="54"/>
      <c r="V69" s="178" t="s">
        <v>116</v>
      </c>
      <c r="W69" s="178" t="s">
        <v>117</v>
      </c>
      <c r="X69" s="178" t="s">
        <v>87</v>
      </c>
      <c r="Y69" s="178" t="s">
        <v>154</v>
      </c>
      <c r="Z69" s="96"/>
      <c r="AA69" s="178" t="s">
        <v>116</v>
      </c>
      <c r="AB69" s="178" t="s">
        <v>117</v>
      </c>
      <c r="AC69" s="178" t="s">
        <v>87</v>
      </c>
      <c r="AD69" s="178" t="s">
        <v>154</v>
      </c>
      <c r="AE69" s="204" t="s">
        <v>114</v>
      </c>
      <c r="AF69" s="178" t="s">
        <v>116</v>
      </c>
      <c r="AG69" s="178" t="s">
        <v>117</v>
      </c>
      <c r="AH69" s="178" t="s">
        <v>87</v>
      </c>
      <c r="AI69" s="178" t="s">
        <v>154</v>
      </c>
      <c r="AJ69" s="204" t="s">
        <v>114</v>
      </c>
      <c r="AK69" s="8"/>
      <c r="AL69" s="265"/>
      <c r="AM69" s="13"/>
      <c r="AN69" s="13"/>
      <c r="AO69" s="13"/>
      <c r="AP69" s="13"/>
      <c r="AQ69" s="13"/>
      <c r="AR69" s="53"/>
      <c r="AS69" s="53"/>
      <c r="AT69" s="53"/>
      <c r="AU69" s="53"/>
      <c r="AV69" s="242"/>
      <c r="AW69" s="53"/>
      <c r="AX69" s="53"/>
      <c r="AY69" s="53"/>
      <c r="AZ69" s="53"/>
      <c r="BA69" s="53"/>
      <c r="BB69" s="53"/>
      <c r="BC69" s="53"/>
      <c r="BD69" s="53"/>
      <c r="BE69" s="53"/>
      <c r="BF69" s="53"/>
      <c r="BG69" s="53"/>
      <c r="BH69" s="53"/>
      <c r="BI69" s="53"/>
      <c r="BJ69" s="52"/>
      <c r="BK69" s="52"/>
      <c r="BL69" s="8"/>
      <c r="BP69" s="55"/>
      <c r="BQ69" s="55"/>
      <c r="BS69"/>
      <c r="BT69" s="58"/>
      <c r="BU69" s="73"/>
      <c r="BV69" s="27"/>
      <c r="BW69" s="276"/>
      <c r="BX69" s="276"/>
      <c r="BY69" s="363"/>
      <c r="BZ69" s="363"/>
      <c r="CA69" s="363"/>
      <c r="CB69" s="364"/>
      <c r="CC69" s="348"/>
      <c r="CD69" s="348"/>
      <c r="CE69" s="348"/>
      <c r="CF69" s="348"/>
      <c r="CG69" s="280"/>
      <c r="CH69" s="280"/>
      <c r="CI69" s="280"/>
      <c r="CJ69" s="276"/>
      <c r="CK69" s="276"/>
      <c r="CL69" s="276"/>
      <c r="CM69" s="276"/>
      <c r="CN69" s="276"/>
      <c r="CO69" s="276"/>
      <c r="CP69" s="276"/>
      <c r="CQ69" s="276"/>
      <c r="CR69" s="276"/>
      <c r="CS69" s="276"/>
      <c r="CT69" s="276"/>
    </row>
    <row r="70" spans="1:116" ht="15.75" customHeight="1" thickBot="1" x14ac:dyDescent="0.5">
      <c r="A70" s="27"/>
      <c r="B70" s="348"/>
      <c r="C70" s="349"/>
      <c r="D70" s="350"/>
      <c r="E70" s="350"/>
      <c r="F70" s="356">
        <f>SUM(F28:F67)</f>
        <v>150</v>
      </c>
      <c r="G70" s="357">
        <f>IF(COUNTA(G28:G67)=0,"",SUM(G28:G67))</f>
        <v>750</v>
      </c>
      <c r="H70" s="352"/>
      <c r="I70" s="350"/>
      <c r="J70" s="571" t="str">
        <f>O98</f>
        <v>Class 1 building</v>
      </c>
      <c r="K70" s="571"/>
      <c r="L70" s="571"/>
      <c r="M70" s="571"/>
      <c r="N70" s="358" t="str">
        <f ca="1">IF(V70&gt;0,O103,"")</f>
        <v/>
      </c>
      <c r="O70" s="358" t="str">
        <f ca="1">IF(AND(I112,OR(ClassificationTwo=Class1)),P103,"")</f>
        <v/>
      </c>
      <c r="P70" s="359"/>
      <c r="Q70" s="343"/>
      <c r="R70" s="9"/>
      <c r="S70" s="9"/>
      <c r="T70" s="9"/>
      <c r="U70" s="54"/>
      <c r="V70" s="54">
        <f>SUM(V28:V67)</f>
        <v>115</v>
      </c>
      <c r="W70" s="54">
        <f>SUM(W28:W67)</f>
        <v>525</v>
      </c>
      <c r="X70" s="54" t="e">
        <f>Y70/V70</f>
        <v>#VALUE!</v>
      </c>
      <c r="Y70" s="54" t="e">
        <f>SUM(Y28:Y67)</f>
        <v>#VALUE!</v>
      </c>
      <c r="Z70" s="97">
        <f>COUNT(Z28:Z67)</f>
        <v>33</v>
      </c>
      <c r="AA70" s="54">
        <f>SUM(AA28:AA67)</f>
        <v>20</v>
      </c>
      <c r="AB70" s="54">
        <f>SUM(AB28:AB67)</f>
        <v>75</v>
      </c>
      <c r="AC70" s="54">
        <f>AD70/AA70</f>
        <v>4</v>
      </c>
      <c r="AD70" s="54">
        <f>SUM(AD28:AD67)</f>
        <v>80</v>
      </c>
      <c r="AE70" s="97">
        <f>COUNT(AE28:AE67)</f>
        <v>39</v>
      </c>
      <c r="AF70" s="54">
        <f>SUM(AF28:AF67)</f>
        <v>15</v>
      </c>
      <c r="AG70" s="54">
        <f>SUM(AG28:AG67)</f>
        <v>150</v>
      </c>
      <c r="AH70" s="54">
        <f>AI70/AF70</f>
        <v>3</v>
      </c>
      <c r="AI70" s="54">
        <f>SUM(AI28:AI67)</f>
        <v>45</v>
      </c>
      <c r="AJ70" s="54">
        <f>COUNT(AJ28:AJ67)</f>
        <v>38</v>
      </c>
      <c r="AK70" s="8"/>
      <c r="AL70" s="13"/>
      <c r="AM70" s="13"/>
      <c r="AN70" s="13"/>
      <c r="AO70" s="13"/>
      <c r="AP70" s="13"/>
      <c r="AQ70" s="13"/>
      <c r="AR70" s="53"/>
      <c r="AS70" s="53"/>
      <c r="AT70" s="53"/>
      <c r="AU70" s="53"/>
      <c r="AV70" s="242"/>
      <c r="AW70" s="53"/>
      <c r="AX70" s="53"/>
      <c r="AY70" s="53"/>
      <c r="AZ70" s="53"/>
      <c r="BA70" s="53"/>
      <c r="BB70" s="53"/>
      <c r="BC70" s="53"/>
      <c r="BD70" s="53"/>
      <c r="BE70" s="53"/>
      <c r="BF70" s="53"/>
      <c r="BG70" s="53"/>
      <c r="BH70" s="53"/>
      <c r="BI70" s="53"/>
      <c r="BJ70" s="52"/>
      <c r="BK70" s="52"/>
      <c r="BL70" s="8"/>
      <c r="BN70" s="172">
        <f ca="1">SUM(BN28:BN67)</f>
        <v>15</v>
      </c>
      <c r="BP70" s="55"/>
      <c r="BQ70" s="55"/>
      <c r="BS70"/>
      <c r="BT70" s="75"/>
      <c r="BU70" s="73"/>
      <c r="BV70" s="27"/>
      <c r="BW70" s="276"/>
      <c r="BX70" s="276"/>
      <c r="BY70" s="363"/>
      <c r="BZ70" s="363"/>
      <c r="CA70" s="365" t="s">
        <v>87</v>
      </c>
      <c r="CB70" s="366" t="str">
        <f>IF(AQ28,AVERAGE(CB28:CB67),"")</f>
        <v/>
      </c>
      <c r="CC70" s="365" t="s">
        <v>87</v>
      </c>
      <c r="CD70" s="367" t="str">
        <f>IF(AQ28,AVERAGE(CD28:CD67),"")</f>
        <v/>
      </c>
      <c r="CE70" s="368"/>
      <c r="CF70" s="348"/>
      <c r="CG70" s="280"/>
      <c r="CH70" s="280"/>
      <c r="CI70" s="280"/>
      <c r="CJ70" s="276"/>
      <c r="CK70" s="276"/>
      <c r="CL70" s="276"/>
      <c r="CM70" s="276"/>
      <c r="CN70" s="276"/>
      <c r="CO70" s="276"/>
      <c r="CP70" s="276"/>
      <c r="CQ70" s="276"/>
      <c r="CR70" s="276"/>
      <c r="CS70" s="276"/>
      <c r="CT70" s="276"/>
    </row>
    <row r="71" spans="1:116" ht="15" customHeight="1" x14ac:dyDescent="0.45">
      <c r="A71" s="27"/>
      <c r="B71" s="348"/>
      <c r="C71" s="349"/>
      <c r="D71" s="350"/>
      <c r="E71" s="350"/>
      <c r="F71" s="360"/>
      <c r="G71" s="361"/>
      <c r="H71" s="352"/>
      <c r="I71" s="350"/>
      <c r="J71" s="571" t="str">
        <f>O99</f>
        <v>Verandah or balcony</v>
      </c>
      <c r="K71" s="571"/>
      <c r="L71" s="571"/>
      <c r="M71" s="571"/>
      <c r="N71" s="358" t="str">
        <f ca="1">IF(AA70&gt;0,O105,"")</f>
        <v/>
      </c>
      <c r="O71" s="358" t="str">
        <f ca="1">IF(AND(I112,OR(ClassificationTwo=Class1)),P105,"")</f>
        <v/>
      </c>
      <c r="P71" s="359"/>
      <c r="Q71" s="343"/>
      <c r="R71" s="9"/>
      <c r="S71" s="9"/>
      <c r="T71" s="9"/>
      <c r="U71" s="54"/>
      <c r="V71" s="54"/>
      <c r="W71" s="54"/>
      <c r="X71" s="54"/>
      <c r="Y71" s="54"/>
      <c r="Z71" s="54"/>
      <c r="AA71" s="54"/>
      <c r="AB71" s="54"/>
      <c r="AC71" s="54"/>
      <c r="AD71" s="54"/>
      <c r="AE71" s="54"/>
      <c r="AF71" s="54"/>
      <c r="AG71" s="54"/>
      <c r="AH71" s="54"/>
      <c r="AI71" s="54"/>
      <c r="AJ71" s="98"/>
      <c r="AK71" s="8"/>
      <c r="AL71" s="13"/>
      <c r="AM71" s="13"/>
      <c r="AN71" s="13"/>
      <c r="AO71" s="13"/>
      <c r="AP71" s="13"/>
      <c r="AQ71" s="13"/>
      <c r="AR71" s="53"/>
      <c r="AS71" s="53"/>
      <c r="AT71" s="53"/>
      <c r="AU71" s="53"/>
      <c r="AV71" s="242"/>
      <c r="AW71" s="53"/>
      <c r="AX71" s="53"/>
      <c r="AY71" s="53"/>
      <c r="AZ71" s="53"/>
      <c r="BA71" s="53"/>
      <c r="BB71" s="53"/>
      <c r="BC71" s="53"/>
      <c r="BD71" s="53"/>
      <c r="BE71" s="53"/>
      <c r="BF71" s="53"/>
      <c r="BG71" s="53"/>
      <c r="BH71" s="53"/>
      <c r="BI71" s="53"/>
      <c r="BJ71" s="52"/>
      <c r="BK71" s="52"/>
      <c r="BL71" s="8"/>
      <c r="BN71" s="142" t="str">
        <f ca="1">IF(ISNA(BN70),"Invalid Location data is present","OK")</f>
        <v>OK</v>
      </c>
      <c r="BP71" s="55"/>
      <c r="BQ71" s="55"/>
      <c r="BS71"/>
      <c r="BT71" s="75"/>
      <c r="BU71" s="73"/>
      <c r="BV71" s="27"/>
      <c r="BW71" s="276"/>
      <c r="BX71" s="276"/>
      <c r="BY71" s="363"/>
      <c r="BZ71" s="363"/>
      <c r="CA71" s="369"/>
      <c r="CB71" s="370"/>
      <c r="CC71" s="348"/>
      <c r="CD71" s="371"/>
      <c r="CE71" s="372"/>
      <c r="CF71" s="348"/>
      <c r="CG71" s="280"/>
      <c r="CH71" s="280"/>
      <c r="CI71" s="280"/>
      <c r="CJ71" s="276"/>
      <c r="CK71" s="276"/>
      <c r="CL71" s="276"/>
      <c r="CM71" s="276"/>
      <c r="CN71" s="276"/>
      <c r="CO71" s="276"/>
      <c r="CP71" s="276"/>
      <c r="CQ71" s="276"/>
      <c r="CR71" s="276"/>
      <c r="CS71" s="276"/>
      <c r="CT71" s="276"/>
    </row>
    <row r="72" spans="1:116" ht="15" customHeight="1" x14ac:dyDescent="0.45">
      <c r="A72" s="27"/>
      <c r="B72" s="348"/>
      <c r="C72" s="349"/>
      <c r="D72" s="350"/>
      <c r="E72" s="350"/>
      <c r="F72" s="360"/>
      <c r="G72" s="361"/>
      <c r="H72" s="352"/>
      <c r="I72" s="350"/>
      <c r="J72" s="571" t="str">
        <f>O100</f>
        <v>Class 10a building (associated with a Class 1 building)</v>
      </c>
      <c r="K72" s="571"/>
      <c r="L72" s="571"/>
      <c r="M72" s="571"/>
      <c r="N72" s="358" t="str">
        <f ca="1">IF(AF70&gt;0,O106,"")</f>
        <v/>
      </c>
      <c r="O72" s="358" t="str">
        <f ca="1">IF(AND(I112,OR(ClassificationTwo=Class1,ClassificationTwo=Class10)),P106,"")</f>
        <v/>
      </c>
      <c r="P72" s="359"/>
      <c r="Q72" s="343"/>
      <c r="R72" s="9"/>
      <c r="S72" s="173" t="s">
        <v>215</v>
      </c>
      <c r="T72" s="9"/>
      <c r="U72" s="54"/>
      <c r="V72" s="108" t="s">
        <v>136</v>
      </c>
      <c r="W72" s="54"/>
      <c r="X72" s="54"/>
      <c r="Y72" s="54"/>
      <c r="Z72" s="54"/>
      <c r="AA72" s="108" t="s">
        <v>137</v>
      </c>
      <c r="AB72" s="54"/>
      <c r="AC72" s="54"/>
      <c r="AD72" s="54"/>
      <c r="AE72" s="54"/>
      <c r="AF72" s="108" t="s">
        <v>137</v>
      </c>
      <c r="AG72" s="54"/>
      <c r="AH72" s="54"/>
      <c r="AI72" s="54"/>
      <c r="AJ72" s="54"/>
      <c r="AK72" s="8"/>
      <c r="AL72" s="13"/>
      <c r="AM72" s="13"/>
      <c r="AN72" s="13"/>
      <c r="AO72" s="13"/>
      <c r="AP72" s="13"/>
      <c r="AQ72" s="13"/>
      <c r="AR72" s="53"/>
      <c r="AS72" s="53"/>
      <c r="AT72" s="53"/>
      <c r="AU72" s="53"/>
      <c r="AV72" s="242"/>
      <c r="AW72" s="53"/>
      <c r="AX72" s="53"/>
      <c r="AY72" s="53"/>
      <c r="AZ72" s="53"/>
      <c r="BA72" s="53"/>
      <c r="BB72" s="53"/>
      <c r="BC72" s="53"/>
      <c r="BD72" s="53"/>
      <c r="BE72" s="53"/>
      <c r="BF72" s="53"/>
      <c r="BG72" s="53"/>
      <c r="BH72" s="53"/>
      <c r="BI72" s="53"/>
      <c r="BJ72" s="52"/>
      <c r="BK72" s="52"/>
      <c r="BL72" s="8"/>
      <c r="BP72" s="55"/>
      <c r="BQ72" s="55"/>
      <c r="BS72"/>
      <c r="BT72" s="75"/>
      <c r="BU72" s="73"/>
      <c r="BV72" s="27"/>
      <c r="BW72" s="276"/>
      <c r="BX72" s="276"/>
      <c r="BY72" s="363"/>
      <c r="BZ72" s="363"/>
      <c r="CA72" s="369"/>
      <c r="CB72" s="370"/>
      <c r="CC72" s="348"/>
      <c r="CD72" s="371"/>
      <c r="CE72" s="372"/>
      <c r="CF72" s="348"/>
      <c r="CG72" s="280"/>
      <c r="CH72" s="280"/>
      <c r="CI72" s="280"/>
      <c r="CJ72" s="276"/>
      <c r="CK72" s="276"/>
      <c r="CL72" s="276"/>
      <c r="CM72" s="276"/>
      <c r="CN72" s="276"/>
      <c r="CO72" s="276"/>
      <c r="CP72" s="276"/>
      <c r="CQ72" s="276"/>
      <c r="CR72" s="276"/>
      <c r="CS72" s="276"/>
      <c r="CT72" s="276"/>
    </row>
    <row r="73" spans="1:116" ht="17.25" x14ac:dyDescent="0.45">
      <c r="A73" s="27"/>
      <c r="B73" s="348"/>
      <c r="C73" s="349"/>
      <c r="D73" s="350"/>
      <c r="E73" s="350"/>
      <c r="F73" s="350"/>
      <c r="G73" s="350"/>
      <c r="H73" s="352"/>
      <c r="I73" s="350"/>
      <c r="J73" s="352"/>
      <c r="K73" s="352"/>
      <c r="L73" s="352"/>
      <c r="M73" s="352"/>
      <c r="N73" s="355"/>
      <c r="O73" s="355"/>
      <c r="P73" s="355"/>
      <c r="Q73" s="343"/>
      <c r="R73" s="9"/>
      <c r="S73" s="18">
        <f>COUNTIF(S28:S67,TRUE)</f>
        <v>1</v>
      </c>
      <c r="T73" s="9"/>
      <c r="U73" s="54"/>
      <c r="V73" s="54" t="b">
        <f>V70&gt;0</f>
        <v>1</v>
      </c>
      <c r="W73" s="54"/>
      <c r="X73" s="54"/>
      <c r="Y73" s="54"/>
      <c r="Z73" s="54"/>
      <c r="AA73" s="54" t="b">
        <f>AA70&gt;0</f>
        <v>1</v>
      </c>
      <c r="AB73" s="54"/>
      <c r="AC73" s="54"/>
      <c r="AD73" s="54"/>
      <c r="AE73" s="54"/>
      <c r="AF73" s="54" t="b">
        <f>AF70&gt;0</f>
        <v>1</v>
      </c>
      <c r="AG73" s="54"/>
      <c r="AH73" s="54"/>
      <c r="AI73" s="54"/>
      <c r="AJ73" s="54"/>
      <c r="AK73" s="8"/>
      <c r="AL73" s="13"/>
      <c r="AM73" s="13"/>
      <c r="AN73" s="13"/>
      <c r="AO73" s="13"/>
      <c r="AP73" s="13"/>
      <c r="AQ73" s="13"/>
      <c r="AR73" s="53"/>
      <c r="AS73" s="53"/>
      <c r="AT73" s="53"/>
      <c r="AU73" s="53"/>
      <c r="AV73" s="242"/>
      <c r="AW73" s="53"/>
      <c r="AX73" s="53"/>
      <c r="AY73" s="53"/>
      <c r="AZ73" s="53"/>
      <c r="BA73" s="53"/>
      <c r="BB73" s="53"/>
      <c r="BC73" s="53"/>
      <c r="BD73" s="53"/>
      <c r="BE73" s="53"/>
      <c r="BF73" s="53"/>
      <c r="BG73" s="53"/>
      <c r="BH73" s="53"/>
      <c r="BI73" s="53"/>
      <c r="BJ73" s="52"/>
      <c r="BK73" s="52"/>
      <c r="BL73" s="8"/>
      <c r="BP73" s="55"/>
      <c r="BQ73" s="55"/>
      <c r="BS73"/>
      <c r="BT73" s="75"/>
      <c r="BU73" s="73"/>
      <c r="BV73" s="27"/>
      <c r="BW73" s="276"/>
      <c r="BX73" s="276"/>
      <c r="BY73" s="363"/>
      <c r="BZ73" s="363"/>
      <c r="CA73" s="363"/>
      <c r="CB73" s="363"/>
      <c r="CC73" s="363"/>
      <c r="CD73" s="363"/>
      <c r="CE73" s="363"/>
      <c r="CF73" s="348"/>
      <c r="CG73" s="280"/>
      <c r="CH73" s="280"/>
      <c r="CI73" s="276"/>
      <c r="CJ73" s="276"/>
      <c r="CK73" s="276"/>
      <c r="CL73" s="276"/>
      <c r="CM73" s="276"/>
      <c r="CN73" s="276"/>
      <c r="CO73" s="276"/>
      <c r="CP73" s="276"/>
      <c r="CQ73" s="276"/>
      <c r="CR73" s="276"/>
      <c r="CS73" s="276"/>
      <c r="CT73" s="276"/>
    </row>
    <row r="74" spans="1:116" ht="84" customHeight="1" x14ac:dyDescent="0.45">
      <c r="A74" s="27"/>
      <c r="B74" s="569" t="str">
        <f ca="1">IF(I111,"The NCC offers pathways for a building to comply other than the Deemed-to-Satisfy provisions." &amp; " Consider using a Performance Solution or Verification Method. Verification Method V2.6.2.2 allows for energy to be traded between services, so it may be possible to release additional energy for lighting from another service." &amp; " This option should be discussed with other services trades as early in the project's design cycle as plausible.","")</f>
        <v/>
      </c>
      <c r="C74" s="570"/>
      <c r="D74" s="570"/>
      <c r="E74" s="570"/>
      <c r="F74" s="570"/>
      <c r="G74" s="570"/>
      <c r="H74" s="570"/>
      <c r="I74" s="570"/>
      <c r="J74" s="570"/>
      <c r="K74" s="570"/>
      <c r="L74" s="570"/>
      <c r="M74" s="570"/>
      <c r="N74" s="362" t="str">
        <f ca="1">IFERROR(IF(AND(I112,COUNTA(D28:M67)&gt;0),"if inputs are valid",""),"")</f>
        <v/>
      </c>
      <c r="O74" s="445" t="str">
        <f ca="1">IF(AND(I112,I110=TRUE),"ü",IF(AND(I112,OR(ADIPLClass1&gt;0,ADIPLbalc&gt;0,ADIPLClass10&gt;0)),"û",""))</f>
        <v/>
      </c>
      <c r="P74" s="446"/>
      <c r="Q74" s="343"/>
      <c r="R74" s="56"/>
      <c r="S74" s="56"/>
      <c r="T74" s="56"/>
      <c r="U74" s="56"/>
      <c r="V74" s="54"/>
      <c r="W74" s="54"/>
      <c r="X74" s="54"/>
      <c r="Y74" s="54"/>
      <c r="Z74" s="54"/>
      <c r="AA74" s="54"/>
      <c r="AB74" s="54"/>
      <c r="AC74" s="54"/>
      <c r="AD74" s="54"/>
      <c r="AE74" s="54"/>
      <c r="AF74" s="54"/>
      <c r="AG74" s="54"/>
      <c r="AH74" s="54"/>
      <c r="AI74" s="54"/>
      <c r="AJ74" s="54"/>
      <c r="AK74" s="8"/>
      <c r="AL74" s="13"/>
      <c r="AM74" s="13"/>
      <c r="AN74" s="13"/>
      <c r="AO74" s="13"/>
      <c r="AP74" s="13"/>
      <c r="AQ74" s="13"/>
      <c r="AR74" s="53"/>
      <c r="AS74" s="53"/>
      <c r="AT74" s="53"/>
      <c r="AU74" s="53"/>
      <c r="AV74" s="242"/>
      <c r="AW74" s="53"/>
      <c r="AX74" s="53"/>
      <c r="AY74" s="53"/>
      <c r="AZ74" s="53"/>
      <c r="BA74" s="53"/>
      <c r="BB74" s="53"/>
      <c r="BC74" s="53"/>
      <c r="BD74" s="53"/>
      <c r="BE74" s="53"/>
      <c r="BF74" s="53"/>
      <c r="BG74" s="53"/>
      <c r="BH74" s="53"/>
      <c r="BI74" s="53"/>
      <c r="BJ74" s="52"/>
      <c r="BK74" s="52"/>
      <c r="BL74" s="8"/>
      <c r="BP74" s="55"/>
      <c r="BQ74" s="55"/>
      <c r="BS74"/>
      <c r="BT74" s="75"/>
      <c r="BU74" s="73"/>
      <c r="BV74" s="27"/>
      <c r="BW74" s="276"/>
      <c r="BX74" s="276"/>
      <c r="BY74" s="363"/>
      <c r="BZ74" s="363"/>
      <c r="CA74" s="363"/>
      <c r="CB74" s="363"/>
      <c r="CC74" s="363"/>
      <c r="CD74" s="363"/>
      <c r="CE74" s="348"/>
      <c r="CF74" s="348"/>
      <c r="CG74" s="280"/>
      <c r="CH74" s="280"/>
      <c r="CI74" s="276"/>
      <c r="CJ74" s="276"/>
      <c r="CK74" s="276"/>
      <c r="CL74" s="276"/>
      <c r="CM74" s="276"/>
      <c r="CN74" s="276"/>
      <c r="CO74" s="276"/>
      <c r="CP74" s="276"/>
      <c r="CQ74" s="276"/>
      <c r="CR74" s="276"/>
      <c r="CS74" s="276"/>
      <c r="CT74" s="276"/>
    </row>
    <row r="75" spans="1:116" ht="15" x14ac:dyDescent="0.35">
      <c r="A75" s="27"/>
      <c r="B75" s="276"/>
      <c r="C75" s="277"/>
      <c r="D75" s="281"/>
      <c r="E75" s="281"/>
      <c r="F75" s="578"/>
      <c r="G75" s="579"/>
      <c r="H75" s="579"/>
      <c r="I75" s="579"/>
      <c r="J75" s="579"/>
      <c r="K75" s="579"/>
      <c r="L75" s="579"/>
      <c r="M75" s="579"/>
      <c r="N75" s="283"/>
      <c r="O75" s="283"/>
      <c r="P75" s="283"/>
      <c r="Q75" s="284"/>
      <c r="R75" s="9"/>
      <c r="S75" s="9"/>
      <c r="T75" s="9"/>
      <c r="U75" s="23"/>
      <c r="V75" s="9"/>
      <c r="W75" s="9"/>
      <c r="X75" s="9"/>
      <c r="Y75" s="9"/>
      <c r="Z75" s="9"/>
      <c r="AA75" s="9"/>
      <c r="AB75" s="9"/>
      <c r="AC75" s="9"/>
      <c r="AD75" s="9"/>
      <c r="AE75" s="9"/>
      <c r="AF75" s="9"/>
      <c r="AG75" s="9"/>
      <c r="AH75" s="9"/>
      <c r="AI75" s="9"/>
      <c r="AJ75" s="9"/>
      <c r="AK75" s="24"/>
      <c r="AR75" s="25"/>
      <c r="AS75" s="25"/>
      <c r="AT75" s="25"/>
      <c r="AU75" s="25"/>
      <c r="AV75" s="243"/>
      <c r="AW75" s="25"/>
      <c r="AX75" s="25"/>
      <c r="AY75" s="25"/>
      <c r="AZ75" s="25"/>
      <c r="BA75" s="25"/>
      <c r="BB75" s="25"/>
      <c r="BC75" s="25"/>
      <c r="BD75" s="25"/>
      <c r="BE75" s="25"/>
      <c r="BF75" s="25"/>
      <c r="BG75" s="25"/>
      <c r="BH75" s="25"/>
      <c r="BI75" s="25"/>
      <c r="BJ75" s="26"/>
      <c r="BK75" s="26"/>
      <c r="BL75" s="12" t="e">
        <f>IF(#REF!,TEXT(BJ75,"0.00%")&amp;" of "&amp;TEXT(BK75,"0.00%"),"")</f>
        <v>#REF!</v>
      </c>
      <c r="BP75" s="12"/>
      <c r="BS75"/>
      <c r="BT75" s="75"/>
      <c r="BU75" s="73"/>
      <c r="BV75" s="27"/>
      <c r="BW75" s="276"/>
      <c r="BX75" s="276"/>
      <c r="BY75" s="276"/>
      <c r="BZ75" s="276"/>
      <c r="CA75" s="276"/>
      <c r="CB75" s="276"/>
      <c r="CC75" s="276"/>
      <c r="CD75" s="276"/>
      <c r="CE75" s="276"/>
      <c r="CF75" s="276"/>
      <c r="CG75" s="276"/>
      <c r="CH75" s="276"/>
      <c r="CI75" s="276"/>
      <c r="CJ75" s="276"/>
      <c r="CK75" s="276"/>
      <c r="CL75" s="276"/>
      <c r="CM75" s="276"/>
      <c r="CN75" s="276"/>
      <c r="CO75" s="276"/>
      <c r="CP75" s="276"/>
      <c r="CQ75" s="276"/>
      <c r="CR75" s="276"/>
      <c r="CS75" s="276"/>
      <c r="CT75" s="276"/>
    </row>
    <row r="76" spans="1:116" ht="13.15" x14ac:dyDescent="0.4">
      <c r="A76" s="27"/>
      <c r="B76" s="576" t="s">
        <v>351</v>
      </c>
      <c r="C76" s="576"/>
      <c r="D76" s="576"/>
      <c r="E76" s="576"/>
      <c r="F76" s="576"/>
      <c r="G76" s="576"/>
      <c r="H76" s="576"/>
      <c r="I76" s="576"/>
      <c r="J76" s="576"/>
      <c r="K76" s="576"/>
      <c r="L76" s="576"/>
      <c r="M76" s="576"/>
      <c r="N76" s="576"/>
      <c r="O76" s="576"/>
      <c r="P76" s="576"/>
      <c r="Q76" s="284"/>
      <c r="R76" s="9"/>
      <c r="S76" s="9"/>
      <c r="T76" s="9"/>
      <c r="U76" s="23"/>
      <c r="V76" s="9"/>
      <c r="W76" s="9"/>
      <c r="X76" s="9"/>
      <c r="Y76" s="9"/>
      <c r="Z76" s="9"/>
      <c r="AA76" s="9"/>
      <c r="AB76" s="9"/>
      <c r="AC76" s="9"/>
      <c r="AD76" s="9"/>
      <c r="AE76" s="9"/>
      <c r="AF76" s="9"/>
      <c r="AG76" s="9"/>
      <c r="AH76" s="9"/>
      <c r="AI76" s="9"/>
      <c r="AJ76" s="9"/>
      <c r="AK76" s="24"/>
      <c r="AR76" s="25"/>
      <c r="AS76" s="25"/>
      <c r="AT76" s="25"/>
      <c r="AU76" s="25"/>
      <c r="AV76" s="243"/>
      <c r="AW76" s="25"/>
      <c r="AX76" s="25"/>
      <c r="AY76" s="25"/>
      <c r="AZ76" s="25"/>
      <c r="BA76" s="25"/>
      <c r="BB76" s="25"/>
      <c r="BC76" s="25"/>
      <c r="BD76" s="25"/>
      <c r="BE76" s="25"/>
      <c r="BF76" s="25"/>
      <c r="BG76" s="25"/>
      <c r="BH76" s="25"/>
      <c r="BI76" s="25"/>
      <c r="BJ76" s="26"/>
      <c r="BK76" s="26"/>
      <c r="BP76" s="12"/>
      <c r="BS76" s="208"/>
      <c r="BT76" s="75"/>
      <c r="BU76" s="73"/>
      <c r="BV76" s="27"/>
      <c r="BW76" s="276"/>
      <c r="BX76" s="276"/>
      <c r="BY76" s="276"/>
      <c r="BZ76" s="276"/>
      <c r="CA76" s="276"/>
      <c r="CB76" s="276"/>
      <c r="CC76" s="276"/>
      <c r="CD76" s="276"/>
      <c r="CE76" s="276"/>
      <c r="CF76" s="276"/>
      <c r="CG76" s="276"/>
      <c r="CH76" s="276"/>
      <c r="CI76" s="276"/>
      <c r="CJ76" s="276"/>
      <c r="CK76" s="276"/>
      <c r="CL76" s="276"/>
      <c r="CM76" s="276"/>
      <c r="CN76" s="276"/>
      <c r="CO76" s="276"/>
      <c r="CP76" s="276"/>
      <c r="CQ76" s="276"/>
      <c r="CR76" s="276"/>
      <c r="CS76" s="276"/>
      <c r="CT76" s="276"/>
    </row>
    <row r="77" spans="1:116" ht="13.5" x14ac:dyDescent="0.35">
      <c r="A77" s="27"/>
      <c r="B77" s="271"/>
      <c r="C77" s="572"/>
      <c r="D77" s="572"/>
      <c r="E77" s="572"/>
      <c r="F77" s="272"/>
      <c r="G77" s="272"/>
      <c r="H77" s="272"/>
      <c r="I77" s="273"/>
      <c r="J77" s="273"/>
      <c r="K77" s="273"/>
      <c r="L77" s="273"/>
      <c r="M77" s="273"/>
      <c r="N77" s="273"/>
      <c r="O77" s="275"/>
      <c r="P77" s="286"/>
      <c r="Q77" s="284"/>
      <c r="R77" s="9"/>
      <c r="S77" s="9"/>
      <c r="T77" s="9"/>
      <c r="U77" s="23"/>
      <c r="V77" s="9"/>
      <c r="W77" s="9"/>
      <c r="X77" s="9"/>
      <c r="Y77" s="9"/>
      <c r="Z77" s="9"/>
      <c r="AA77" s="9"/>
      <c r="AB77" s="9"/>
      <c r="AC77" s="9"/>
      <c r="AD77" s="9"/>
      <c r="AE77" s="9"/>
      <c r="AF77" s="9"/>
      <c r="AG77" s="9"/>
      <c r="AH77" s="9"/>
      <c r="AI77" s="9"/>
      <c r="AJ77" s="9"/>
      <c r="AK77" s="24"/>
      <c r="AR77" s="25"/>
      <c r="AS77" s="25"/>
      <c r="AT77" s="25"/>
      <c r="AU77" s="25"/>
      <c r="AV77" s="243"/>
      <c r="AW77" s="25"/>
      <c r="AX77" s="25"/>
      <c r="AY77" s="25"/>
      <c r="AZ77" s="25"/>
      <c r="BA77" s="25"/>
      <c r="BB77" s="25"/>
      <c r="BC77" s="25"/>
      <c r="BD77" s="25"/>
      <c r="BE77" s="25"/>
      <c r="BF77" s="25"/>
      <c r="BG77" s="25"/>
      <c r="BH77" s="25"/>
      <c r="BI77" s="25"/>
      <c r="BJ77" s="26"/>
      <c r="BK77" s="26"/>
      <c r="BP77" s="12"/>
      <c r="BS77" s="208"/>
      <c r="BT77" s="75"/>
      <c r="BU77" s="73"/>
      <c r="BV77" s="27"/>
      <c r="BW77" s="276"/>
      <c r="BX77" s="276"/>
      <c r="BY77" s="276"/>
      <c r="BZ77" s="276"/>
      <c r="CA77" s="276"/>
      <c r="CB77" s="276"/>
      <c r="CC77" s="276"/>
      <c r="CD77" s="276"/>
      <c r="CE77" s="276"/>
      <c r="CF77" s="276"/>
      <c r="CG77" s="276"/>
      <c r="CH77" s="276"/>
      <c r="CI77" s="276"/>
      <c r="CJ77" s="276"/>
      <c r="CK77" s="276"/>
      <c r="CL77" s="276"/>
      <c r="CM77" s="276"/>
      <c r="CN77" s="276"/>
      <c r="CO77" s="276"/>
      <c r="CP77" s="276"/>
      <c r="CQ77" s="276"/>
      <c r="CR77" s="276"/>
      <c r="CS77" s="276"/>
      <c r="CT77" s="276"/>
    </row>
    <row r="78" spans="1:116" ht="13.5" x14ac:dyDescent="0.35">
      <c r="A78" s="27"/>
      <c r="B78" s="271"/>
      <c r="C78" s="271"/>
      <c r="D78" s="274"/>
      <c r="E78" s="271"/>
      <c r="F78" s="271"/>
      <c r="G78" s="271"/>
      <c r="H78" s="271"/>
      <c r="I78" s="273"/>
      <c r="J78" s="273"/>
      <c r="K78" s="273"/>
      <c r="L78" s="273"/>
      <c r="M78" s="273"/>
      <c r="N78" s="273"/>
      <c r="O78" s="275"/>
      <c r="P78" s="286"/>
      <c r="Q78" s="284"/>
      <c r="R78" s="9"/>
      <c r="S78" s="9"/>
      <c r="T78" s="9"/>
      <c r="U78" s="23"/>
      <c r="V78" s="9"/>
      <c r="W78" s="9"/>
      <c r="X78" s="9"/>
      <c r="Y78" s="9"/>
      <c r="Z78" s="9"/>
      <c r="AA78" s="9"/>
      <c r="AB78" s="9"/>
      <c r="AC78" s="9"/>
      <c r="AD78" s="9"/>
      <c r="AE78" s="9"/>
      <c r="AF78" s="9"/>
      <c r="AG78" s="9"/>
      <c r="AH78" s="9"/>
      <c r="AI78" s="9"/>
      <c r="AJ78" s="9"/>
      <c r="AK78" s="24"/>
      <c r="AR78" s="25"/>
      <c r="AS78" s="25"/>
      <c r="AT78" s="25"/>
      <c r="AU78" s="25"/>
      <c r="AV78" s="243"/>
      <c r="AW78" s="25"/>
      <c r="AX78" s="25"/>
      <c r="AY78" s="25"/>
      <c r="AZ78" s="25"/>
      <c r="BA78" s="25"/>
      <c r="BB78" s="25"/>
      <c r="BC78" s="25"/>
      <c r="BD78" s="25"/>
      <c r="BE78" s="25"/>
      <c r="BF78" s="25"/>
      <c r="BG78" s="25"/>
      <c r="BH78" s="25"/>
      <c r="BI78" s="25"/>
      <c r="BJ78" s="26"/>
      <c r="BK78" s="26"/>
      <c r="BP78" s="12"/>
      <c r="BS78" s="208"/>
      <c r="BT78" s="75"/>
      <c r="BU78" s="73"/>
      <c r="BV78" s="27"/>
      <c r="BW78" s="276"/>
      <c r="BX78" s="276"/>
      <c r="BY78" s="276"/>
      <c r="BZ78" s="276"/>
      <c r="CA78" s="276"/>
      <c r="CB78" s="276"/>
      <c r="CC78" s="276"/>
      <c r="CD78" s="276"/>
      <c r="CE78" s="276"/>
      <c r="CF78" s="276"/>
      <c r="CG78" s="276"/>
      <c r="CH78" s="276"/>
      <c r="CI78" s="276"/>
      <c r="CJ78" s="276"/>
      <c r="CK78" s="276"/>
      <c r="CL78" s="276"/>
      <c r="CM78" s="276"/>
      <c r="CN78" s="276"/>
      <c r="CO78" s="276"/>
      <c r="CP78" s="276"/>
      <c r="CQ78" s="276"/>
      <c r="CR78" s="276"/>
      <c r="CS78" s="276"/>
      <c r="CT78" s="276"/>
    </row>
    <row r="79" spans="1:116" x14ac:dyDescent="0.35">
      <c r="A79" s="27"/>
      <c r="B79" s="273"/>
      <c r="C79" s="273"/>
      <c r="D79" s="273"/>
      <c r="E79" s="273"/>
      <c r="F79" s="273"/>
      <c r="G79" s="273"/>
      <c r="H79" s="273"/>
      <c r="I79" s="273"/>
      <c r="J79" s="273"/>
      <c r="K79" s="273"/>
      <c r="L79" s="273"/>
      <c r="M79" s="273"/>
      <c r="N79" s="273"/>
      <c r="O79" s="275"/>
      <c r="P79" s="286"/>
      <c r="Q79" s="284"/>
      <c r="R79" s="9"/>
      <c r="S79" s="9"/>
      <c r="T79" s="9"/>
      <c r="U79" s="23"/>
      <c r="V79" s="9"/>
      <c r="W79" s="9"/>
      <c r="X79" s="9"/>
      <c r="Y79" s="9"/>
      <c r="Z79" s="9"/>
      <c r="AA79" s="9"/>
      <c r="AB79" s="9"/>
      <c r="AC79" s="9"/>
      <c r="AD79" s="9"/>
      <c r="AE79" s="9"/>
      <c r="AF79" s="9"/>
      <c r="AG79" s="9"/>
      <c r="AH79" s="9"/>
      <c r="AI79" s="9"/>
      <c r="AJ79" s="9"/>
      <c r="AK79" s="24"/>
      <c r="AR79" s="25"/>
      <c r="AS79" s="25"/>
      <c r="AT79" s="25"/>
      <c r="AU79" s="25"/>
      <c r="AV79" s="243"/>
      <c r="AW79" s="25"/>
      <c r="AX79" s="25"/>
      <c r="AY79" s="25"/>
      <c r="AZ79" s="25"/>
      <c r="BA79" s="25"/>
      <c r="BB79" s="25"/>
      <c r="BC79" s="25"/>
      <c r="BD79" s="25"/>
      <c r="BE79" s="25"/>
      <c r="BF79" s="25"/>
      <c r="BG79" s="25"/>
      <c r="BH79" s="25"/>
      <c r="BI79" s="25"/>
      <c r="BJ79" s="26"/>
      <c r="BK79" s="26"/>
      <c r="BP79" s="12"/>
      <c r="BS79" s="208"/>
      <c r="BT79" s="75"/>
      <c r="BU79" s="73"/>
      <c r="BV79" s="27"/>
      <c r="BW79" s="276"/>
      <c r="BX79" s="276"/>
      <c r="BY79" s="276"/>
      <c r="BZ79" s="276"/>
      <c r="CA79" s="276"/>
      <c r="CB79" s="276"/>
      <c r="CC79" s="276"/>
      <c r="CD79" s="276"/>
      <c r="CE79" s="276"/>
      <c r="CF79" s="276"/>
      <c r="CG79" s="276"/>
      <c r="CH79" s="276"/>
      <c r="CI79" s="276"/>
      <c r="CJ79" s="276"/>
      <c r="CK79" s="276"/>
      <c r="CL79" s="276"/>
      <c r="CM79" s="276"/>
      <c r="CN79" s="276"/>
      <c r="CO79" s="276"/>
      <c r="CP79" s="276"/>
      <c r="CQ79" s="276"/>
      <c r="CR79" s="276"/>
      <c r="CS79" s="276"/>
      <c r="CT79" s="276"/>
    </row>
    <row r="80" spans="1:116" ht="53.25" customHeight="1" x14ac:dyDescent="0.35">
      <c r="A80" s="27"/>
      <c r="B80" s="273"/>
      <c r="C80" s="273"/>
      <c r="D80" s="273"/>
      <c r="E80" s="273"/>
      <c r="F80" s="273"/>
      <c r="G80" s="273"/>
      <c r="H80" s="273"/>
      <c r="I80" s="273"/>
      <c r="J80" s="273"/>
      <c r="K80" s="273"/>
      <c r="L80" s="273"/>
      <c r="M80" s="273"/>
      <c r="N80" s="273"/>
      <c r="O80" s="275"/>
      <c r="P80" s="286"/>
      <c r="Q80" s="284"/>
      <c r="R80" s="9"/>
      <c r="S80" s="9"/>
      <c r="T80" s="9"/>
      <c r="U80" s="23"/>
      <c r="V80" s="9"/>
      <c r="W80" s="9"/>
      <c r="X80" s="9"/>
      <c r="Y80" s="9"/>
      <c r="Z80" s="9"/>
      <c r="AA80" s="9"/>
      <c r="AB80" s="9"/>
      <c r="AC80" s="9"/>
      <c r="AD80" s="9"/>
      <c r="AE80" s="9"/>
      <c r="AF80" s="9"/>
      <c r="AG80" s="9"/>
      <c r="AH80" s="9"/>
      <c r="AI80" s="9"/>
      <c r="AJ80" s="9"/>
      <c r="AK80" s="24"/>
      <c r="AR80" s="25"/>
      <c r="AS80" s="25"/>
      <c r="AT80" s="25"/>
      <c r="AU80" s="25"/>
      <c r="AV80" s="243"/>
      <c r="AW80" s="25"/>
      <c r="AX80" s="25"/>
      <c r="AY80" s="25"/>
      <c r="AZ80" s="25"/>
      <c r="BA80" s="25"/>
      <c r="BB80" s="25"/>
      <c r="BC80" s="25"/>
      <c r="BD80" s="25"/>
      <c r="BE80" s="25"/>
      <c r="BF80" s="25"/>
      <c r="BG80" s="25"/>
      <c r="BH80" s="25"/>
      <c r="BI80" s="25"/>
      <c r="BJ80" s="26"/>
      <c r="BK80" s="26"/>
      <c r="BP80" s="12"/>
      <c r="BS80" s="208"/>
      <c r="BT80" s="75"/>
      <c r="BU80" s="73"/>
      <c r="BV80" s="27"/>
      <c r="BW80" s="276"/>
      <c r="BX80" s="276"/>
      <c r="BY80" s="276"/>
      <c r="BZ80" s="276"/>
      <c r="CA80" s="276"/>
      <c r="CB80" s="276"/>
      <c r="CC80" s="276"/>
      <c r="CD80" s="276"/>
      <c r="CE80" s="276"/>
      <c r="CF80" s="276"/>
      <c r="CG80" s="276"/>
      <c r="CH80" s="276"/>
      <c r="CI80" s="276"/>
      <c r="CJ80" s="276"/>
      <c r="CK80" s="276"/>
      <c r="CL80" s="276"/>
      <c r="CM80" s="276"/>
      <c r="CN80" s="276"/>
      <c r="CO80" s="276"/>
      <c r="CP80" s="276"/>
      <c r="CQ80" s="276"/>
      <c r="CR80" s="276"/>
      <c r="CS80" s="276"/>
      <c r="CT80" s="276"/>
    </row>
    <row r="81" spans="1:104" x14ac:dyDescent="0.35">
      <c r="A81" s="27"/>
      <c r="B81" s="273"/>
      <c r="C81" s="273"/>
      <c r="D81" s="273"/>
      <c r="E81" s="273"/>
      <c r="F81" s="273"/>
      <c r="G81" s="273"/>
      <c r="H81" s="273"/>
      <c r="I81" s="273"/>
      <c r="J81" s="273"/>
      <c r="K81" s="273"/>
      <c r="L81" s="273"/>
      <c r="M81" s="273"/>
      <c r="N81" s="273"/>
      <c r="O81" s="275"/>
      <c r="P81" s="286"/>
      <c r="Q81" s="284"/>
      <c r="R81" s="9"/>
      <c r="S81" s="9"/>
      <c r="T81" s="9"/>
      <c r="U81" s="23"/>
      <c r="V81" s="9"/>
      <c r="W81" s="9"/>
      <c r="X81" s="9"/>
      <c r="Y81" s="9"/>
      <c r="Z81" s="9"/>
      <c r="AA81" s="9"/>
      <c r="AB81" s="9"/>
      <c r="AC81" s="9"/>
      <c r="AD81" s="9"/>
      <c r="AE81" s="9"/>
      <c r="AF81" s="9"/>
      <c r="AG81" s="9"/>
      <c r="AH81" s="9"/>
      <c r="AI81" s="9"/>
      <c r="AJ81" s="9"/>
      <c r="AK81" s="24"/>
      <c r="AR81" s="25"/>
      <c r="AS81" s="25"/>
      <c r="AT81" s="25"/>
      <c r="AU81" s="25"/>
      <c r="AV81" s="243"/>
      <c r="AW81" s="25"/>
      <c r="AX81" s="25"/>
      <c r="AY81" s="25"/>
      <c r="AZ81" s="25"/>
      <c r="BA81" s="25"/>
      <c r="BB81" s="25"/>
      <c r="BC81" s="25"/>
      <c r="BD81" s="25"/>
      <c r="BE81" s="25"/>
      <c r="BF81" s="25"/>
      <c r="BG81" s="25"/>
      <c r="BH81" s="25"/>
      <c r="BI81" s="25"/>
      <c r="BJ81" s="26"/>
      <c r="BK81" s="26"/>
      <c r="BP81" s="12"/>
      <c r="BS81" s="208"/>
      <c r="BT81" s="75"/>
      <c r="BU81" s="73"/>
      <c r="BV81" s="27"/>
      <c r="BW81" s="276"/>
      <c r="BX81" s="276"/>
      <c r="BY81" s="276"/>
      <c r="BZ81" s="276"/>
      <c r="CA81" s="276"/>
      <c r="CB81" s="276"/>
      <c r="CC81" s="276"/>
      <c r="CD81" s="276"/>
      <c r="CE81" s="276"/>
      <c r="CF81" s="276"/>
      <c r="CG81" s="276"/>
      <c r="CH81" s="276"/>
      <c r="CI81" s="276"/>
      <c r="CJ81" s="276"/>
      <c r="CK81" s="276"/>
      <c r="CL81" s="276"/>
      <c r="CM81" s="276"/>
      <c r="CN81" s="276"/>
      <c r="CO81" s="276"/>
      <c r="CP81" s="276"/>
      <c r="CQ81" s="276"/>
      <c r="CR81" s="276"/>
      <c r="CS81" s="276"/>
      <c r="CT81" s="276"/>
    </row>
    <row r="82" spans="1:104" x14ac:dyDescent="0.35">
      <c r="A82" s="27"/>
      <c r="B82" s="273"/>
      <c r="C82" s="273"/>
      <c r="D82" s="273"/>
      <c r="E82" s="273"/>
      <c r="F82" s="273"/>
      <c r="G82" s="273"/>
      <c r="H82" s="273"/>
      <c r="I82" s="273"/>
      <c r="J82" s="273"/>
      <c r="K82" s="273"/>
      <c r="L82" s="273"/>
      <c r="M82" s="273"/>
      <c r="N82" s="273"/>
      <c r="O82" s="275"/>
      <c r="P82" s="109"/>
      <c r="Q82" s="284"/>
      <c r="R82" s="9"/>
      <c r="S82" s="9"/>
      <c r="T82" s="9"/>
      <c r="U82" s="23"/>
      <c r="V82" s="9"/>
      <c r="W82" s="9"/>
      <c r="X82" s="9"/>
      <c r="Y82" s="9"/>
      <c r="Z82" s="9"/>
      <c r="AA82" s="9"/>
      <c r="AB82" s="9"/>
      <c r="AC82" s="9"/>
      <c r="AD82" s="9"/>
      <c r="AE82" s="9"/>
      <c r="AF82" s="9"/>
      <c r="AG82" s="9"/>
      <c r="AH82" s="9"/>
      <c r="AI82" s="9"/>
      <c r="AJ82" s="9"/>
      <c r="AK82" s="24"/>
      <c r="AR82" s="25"/>
      <c r="AS82" s="25"/>
      <c r="AT82" s="25"/>
      <c r="AU82" s="25"/>
      <c r="AV82" s="243"/>
      <c r="AW82" s="25"/>
      <c r="AX82" s="25"/>
      <c r="AY82" s="25"/>
      <c r="AZ82" s="25"/>
      <c r="BA82" s="25"/>
      <c r="BB82" s="25"/>
      <c r="BC82" s="25"/>
      <c r="BD82" s="25"/>
      <c r="BE82" s="25"/>
      <c r="BF82" s="25"/>
      <c r="BG82" s="25"/>
      <c r="BH82" s="25"/>
      <c r="BI82" s="25"/>
      <c r="BJ82" s="26"/>
      <c r="BK82" s="26"/>
      <c r="BP82" s="12"/>
      <c r="BS82"/>
      <c r="BT82" s="75"/>
      <c r="BU82" s="73"/>
      <c r="BV82" s="27"/>
      <c r="BW82" s="276"/>
      <c r="BX82" s="276"/>
      <c r="BY82" s="276"/>
      <c r="BZ82" s="276"/>
      <c r="CA82" s="276"/>
      <c r="CB82" s="276"/>
      <c r="CC82" s="276"/>
      <c r="CD82" s="276"/>
      <c r="CE82" s="276"/>
      <c r="CF82" s="276"/>
      <c r="CG82" s="276"/>
      <c r="CH82" s="276"/>
      <c r="CI82" s="276"/>
      <c r="CJ82" s="276"/>
      <c r="CK82" s="276"/>
      <c r="CL82" s="276"/>
      <c r="CM82" s="276"/>
      <c r="CN82" s="276"/>
      <c r="CO82" s="276"/>
      <c r="CP82" s="276"/>
      <c r="CQ82" s="276"/>
      <c r="CR82" s="276"/>
      <c r="CS82" s="276"/>
      <c r="CT82" s="276"/>
    </row>
    <row r="83" spans="1:104" ht="15" hidden="1" x14ac:dyDescent="0.35">
      <c r="A83" s="27"/>
      <c r="B83" s="27"/>
      <c r="C83" s="72"/>
      <c r="D83" s="16"/>
      <c r="E83" s="16"/>
      <c r="F83" s="76"/>
      <c r="G83" s="77"/>
      <c r="H83" s="77"/>
      <c r="I83" s="77"/>
      <c r="J83" s="77"/>
      <c r="K83" s="77"/>
      <c r="L83" s="77"/>
      <c r="M83" s="77"/>
      <c r="N83" s="78"/>
      <c r="O83" s="78"/>
      <c r="P83" s="78"/>
      <c r="Q83" s="78"/>
      <c r="R83" s="16"/>
      <c r="S83" s="16"/>
      <c r="T83" s="16"/>
      <c r="U83" s="16"/>
      <c r="V83" s="16"/>
      <c r="W83" s="16"/>
      <c r="X83" s="78"/>
      <c r="Y83" s="78"/>
      <c r="Z83" s="16"/>
      <c r="AA83" s="16"/>
      <c r="AB83" s="16"/>
      <c r="AC83" s="16"/>
      <c r="AD83" s="16"/>
      <c r="AE83" s="16"/>
      <c r="AF83" s="16"/>
      <c r="AG83" s="16"/>
      <c r="AH83" s="16"/>
      <c r="AI83" s="16"/>
      <c r="AJ83" s="16"/>
      <c r="AK83" s="16"/>
      <c r="AL83" s="16"/>
      <c r="AM83" s="16"/>
      <c r="AN83" s="16"/>
      <c r="AO83" s="16"/>
      <c r="AP83" s="17"/>
      <c r="AQ83" s="73"/>
      <c r="AR83" s="73"/>
      <c r="AS83" s="73"/>
      <c r="AT83" s="73"/>
      <c r="AU83" s="73"/>
      <c r="AV83" s="73"/>
      <c r="AW83" s="73"/>
      <c r="AX83" s="79"/>
      <c r="AY83" s="79"/>
      <c r="AZ83" s="79"/>
      <c r="BA83" s="79"/>
      <c r="BB83" s="244"/>
      <c r="BC83" s="79"/>
      <c r="BD83" s="79"/>
      <c r="BE83" s="79"/>
      <c r="BF83" s="79"/>
      <c r="BG83" s="79"/>
      <c r="BH83" s="79"/>
      <c r="BI83" s="79"/>
      <c r="BJ83" s="79"/>
      <c r="BK83" s="79"/>
      <c r="BL83" s="79"/>
      <c r="BM83" s="79"/>
      <c r="BN83" s="79"/>
      <c r="BO83" s="79"/>
      <c r="BP83" s="80"/>
      <c r="BQ83" s="80"/>
      <c r="BR83" s="73"/>
      <c r="BS83" s="73"/>
      <c r="BT83" s="73"/>
      <c r="BU83" s="73"/>
      <c r="BV83" s="73"/>
      <c r="BW83" s="73"/>
      <c r="BX83" s="73"/>
      <c r="BY83" s="73"/>
      <c r="BZ83" s="73"/>
      <c r="CA83" s="73"/>
      <c r="CB83" s="27"/>
      <c r="CC83" s="27"/>
      <c r="CD83" s="27"/>
      <c r="CE83" s="73"/>
      <c r="CF83" s="73"/>
      <c r="CG83" s="73"/>
      <c r="CH83" s="73"/>
      <c r="CI83" s="73"/>
      <c r="CJ83" s="73"/>
      <c r="CK83" s="73"/>
      <c r="CL83" s="73"/>
      <c r="CM83" s="73"/>
      <c r="CN83" s="27"/>
      <c r="CO83" s="27"/>
      <c r="CP83" s="27"/>
      <c r="CQ83" s="27"/>
      <c r="CR83" s="27"/>
      <c r="CS83" s="27"/>
      <c r="CT83" s="27"/>
      <c r="CU83" s="27"/>
      <c r="CV83" s="27"/>
      <c r="CW83" s="27"/>
      <c r="CX83" s="27"/>
      <c r="CY83" s="27"/>
      <c r="CZ83" s="27"/>
    </row>
    <row r="84" spans="1:104" hidden="1" x14ac:dyDescent="0.35">
      <c r="A84" s="209"/>
      <c r="B84" s="209"/>
      <c r="C84" s="210"/>
      <c r="D84" s="27"/>
      <c r="E84" s="27"/>
      <c r="F84" s="27"/>
      <c r="G84" s="27"/>
      <c r="H84" s="27"/>
      <c r="I84" s="27"/>
      <c r="J84" s="28"/>
      <c r="K84" s="28"/>
      <c r="L84" s="113"/>
      <c r="M84" s="113"/>
      <c r="N84" s="27"/>
      <c r="O84" s="27"/>
      <c r="P84" s="27"/>
      <c r="Q84" s="208"/>
      <c r="R84" s="27"/>
      <c r="S84" s="27"/>
      <c r="T84" s="27"/>
      <c r="U84" s="27"/>
      <c r="V84" s="27"/>
      <c r="W84" s="27"/>
      <c r="X84" s="29"/>
      <c r="Y84" s="29"/>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59"/>
      <c r="AZ84" s="59"/>
      <c r="BA84" s="59"/>
      <c r="BB84" s="113"/>
      <c r="BC84" s="27"/>
      <c r="BD84" s="27"/>
      <c r="BE84" s="27"/>
      <c r="BF84" s="27"/>
      <c r="BG84" s="27"/>
      <c r="BH84" s="27"/>
      <c r="BI84" s="27"/>
      <c r="BJ84" s="27"/>
      <c r="BK84" s="27"/>
      <c r="BL84" s="27"/>
      <c r="BM84" s="27"/>
      <c r="BN84" s="27"/>
      <c r="BO84" s="27"/>
      <c r="BP84" s="87"/>
    </row>
    <row r="85" spans="1:104" ht="13.5" hidden="1" thickBot="1" x14ac:dyDescent="0.45">
      <c r="A85" s="209"/>
      <c r="B85" s="211" t="s">
        <v>237</v>
      </c>
      <c r="C85" s="210"/>
      <c r="D85" s="27"/>
      <c r="E85" s="90" t="s">
        <v>81</v>
      </c>
      <c r="F85" s="91"/>
      <c r="G85" s="27"/>
      <c r="H85" s="69" t="s">
        <v>0</v>
      </c>
      <c r="I85" s="140" t="s">
        <v>188</v>
      </c>
      <c r="J85" s="30"/>
      <c r="K85" s="114" t="s">
        <v>236</v>
      </c>
      <c r="L85" s="114"/>
      <c r="M85" s="114"/>
      <c r="N85" s="113"/>
      <c r="O85" s="113"/>
      <c r="P85" s="113"/>
      <c r="Q85" s="208"/>
      <c r="R85" s="113"/>
      <c r="S85" s="113"/>
      <c r="T85" s="113"/>
      <c r="U85" s="113"/>
      <c r="V85" s="113"/>
      <c r="W85" s="113"/>
      <c r="X85" s="29"/>
      <c r="Y85" s="29"/>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59"/>
      <c r="AZ85" s="59"/>
      <c r="BA85" s="59"/>
      <c r="BB85" s="113"/>
      <c r="BC85" s="27"/>
      <c r="BD85" s="27"/>
      <c r="BE85" s="27"/>
      <c r="BF85" s="27"/>
      <c r="BG85" s="27"/>
      <c r="BH85" s="27"/>
      <c r="BI85" s="27"/>
      <c r="BJ85" s="27"/>
      <c r="BK85" s="27"/>
      <c r="BL85" s="27"/>
      <c r="BM85" s="27"/>
      <c r="BN85" s="27"/>
      <c r="BO85" s="27"/>
      <c r="BP85" s="87"/>
    </row>
    <row r="86" spans="1:104" ht="13.15" hidden="1" x14ac:dyDescent="0.4">
      <c r="A86" s="209"/>
      <c r="B86" s="195" t="str">
        <f>IF(RowsPreferredTwo&lt;&gt;RowsShownTwo,"click arrow below","")</f>
        <v/>
      </c>
      <c r="C86" s="195"/>
      <c r="D86" s="195"/>
      <c r="E86" s="110" t="s">
        <v>200</v>
      </c>
      <c r="F86" s="27"/>
      <c r="G86" s="27" t="b">
        <v>0</v>
      </c>
      <c r="H86" s="30" t="str">
        <f>IF(ClassificationTwo=Class1,"Class 1 building",0)</f>
        <v>Class 1 building</v>
      </c>
      <c r="I86" s="141">
        <v>5</v>
      </c>
      <c r="J86" s="136">
        <f>IF(H86&lt;&gt;0,1,"")</f>
        <v>1</v>
      </c>
      <c r="K86" s="135" t="str">
        <f>IF(ISNA(INDEX(H$86:H$90,MATCH(N86,J$86:J$90,0))),"",INDEX(H$86:H$90,MATCH(N86,J$86:J$90,0)))</f>
        <v>Class 1 building</v>
      </c>
      <c r="L86" s="135"/>
      <c r="M86" s="135"/>
      <c r="N86" s="113">
        <v>1</v>
      </c>
      <c r="O86" s="65" t="s">
        <v>58</v>
      </c>
      <c r="P86" s="31"/>
      <c r="Q86" s="208"/>
      <c r="R86" s="113"/>
      <c r="S86" s="31"/>
      <c r="T86" s="152" t="s">
        <v>30</v>
      </c>
      <c r="U86" s="153">
        <v>0.7</v>
      </c>
      <c r="V86" s="154" t="b">
        <v>1</v>
      </c>
      <c r="W86" s="31"/>
      <c r="X86" s="29"/>
      <c r="Y86" s="29"/>
      <c r="Z86" s="27"/>
      <c r="AA86" s="27"/>
      <c r="AB86" s="27"/>
      <c r="AC86" s="27"/>
      <c r="AD86" s="27"/>
      <c r="AE86" s="27"/>
      <c r="AF86" s="27"/>
      <c r="AG86" s="27"/>
      <c r="AH86" s="27"/>
      <c r="AI86" s="27"/>
      <c r="AJ86" s="27"/>
      <c r="AK86" s="27"/>
      <c r="AL86" s="27"/>
      <c r="AM86" s="27"/>
      <c r="AN86" s="27"/>
      <c r="AO86" s="27"/>
      <c r="AP86" s="27"/>
      <c r="AQ86" s="27"/>
      <c r="AR86" s="27"/>
      <c r="AS86" s="171" t="s">
        <v>93</v>
      </c>
      <c r="AT86" s="59"/>
      <c r="AU86" s="59"/>
      <c r="AV86" s="59"/>
      <c r="AW86" s="171" t="s">
        <v>60</v>
      </c>
      <c r="AX86" s="27"/>
      <c r="AY86" s="59"/>
      <c r="AZ86" s="59"/>
      <c r="BA86" s="59"/>
      <c r="BB86" s="113"/>
      <c r="BC86" s="27"/>
      <c r="BD86" s="27"/>
      <c r="BE86" s="27"/>
      <c r="BF86" s="27"/>
      <c r="BG86" s="27"/>
      <c r="BH86" s="27"/>
      <c r="BI86" s="95" t="s">
        <v>101</v>
      </c>
      <c r="BJ86" s="95" t="s">
        <v>102</v>
      </c>
      <c r="BK86" s="27"/>
      <c r="BL86" s="27"/>
      <c r="BM86" s="27"/>
      <c r="BN86" s="27"/>
      <c r="BO86" s="27"/>
      <c r="BP86" s="87"/>
    </row>
    <row r="87" spans="1:104" ht="13.15" hidden="1" x14ac:dyDescent="0.4">
      <c r="A87" s="209"/>
      <c r="B87" s="209"/>
      <c r="C87" s="210"/>
      <c r="D87" s="27"/>
      <c r="E87" s="110" t="s">
        <v>201</v>
      </c>
      <c r="F87" s="27"/>
      <c r="G87" s="27" t="b">
        <v>0</v>
      </c>
      <c r="H87" s="30">
        <v>0</v>
      </c>
      <c r="I87" s="141">
        <v>5</v>
      </c>
      <c r="J87" s="136" t="str">
        <f>IF(H87&lt;&gt;0,MAX(J$86:J86)+1,"")</f>
        <v/>
      </c>
      <c r="K87" s="135" t="str">
        <f t="shared" ref="K87:K90" si="69">IF(ISNA(INDEX(H$86:H$90,MATCH(N87,J$86:J$90,0))),"",INDEX(H$86:H$90,MATCH(N87,J$86:J$90,0)))</f>
        <v>Verandah or balcony</v>
      </c>
      <c r="L87" s="135"/>
      <c r="M87" s="135"/>
      <c r="N87" s="113">
        <v>2</v>
      </c>
      <c r="O87" s="64" t="b">
        <f ca="1">AND(MIPDLClass1&gt;0,FailClass1=TRUE,$AW$87)</f>
        <v>0</v>
      </c>
      <c r="P87" s="32"/>
      <c r="Q87" s="208"/>
      <c r="R87" s="113"/>
      <c r="S87" s="33"/>
      <c r="T87" s="155" t="s">
        <v>194</v>
      </c>
      <c r="U87" s="153">
        <v>0.9</v>
      </c>
      <c r="V87" s="154" t="b">
        <v>1</v>
      </c>
      <c r="W87" s="33"/>
      <c r="X87" s="29"/>
      <c r="Y87" s="34"/>
      <c r="Z87" s="27"/>
      <c r="AA87" s="27"/>
      <c r="AB87" s="27"/>
      <c r="AC87" s="27"/>
      <c r="AD87" s="27"/>
      <c r="AE87" s="27"/>
      <c r="AF87" s="27"/>
      <c r="AG87" s="27"/>
      <c r="AH87" s="27"/>
      <c r="AI87" s="27"/>
      <c r="AJ87" s="27"/>
      <c r="AK87" s="27"/>
      <c r="AL87" s="27"/>
      <c r="AM87" s="27"/>
      <c r="AN87" s="27"/>
      <c r="AO87" s="27"/>
      <c r="AP87" s="27"/>
      <c r="AQ87" s="27"/>
      <c r="AR87" s="27"/>
      <c r="AS87" s="170" t="b">
        <f>OR(AM28:AM67)</f>
        <v>1</v>
      </c>
      <c r="AT87" s="59"/>
      <c r="AU87" s="59"/>
      <c r="AV87" s="59"/>
      <c r="AW87" s="170" t="b">
        <f>AND(AQ28:AQ67,COUNTA(D28:I67)&gt;0)</f>
        <v>0</v>
      </c>
      <c r="AX87" s="27"/>
      <c r="AY87" s="59"/>
      <c r="AZ87" s="59"/>
      <c r="BA87" s="59"/>
      <c r="BB87" s="113"/>
      <c r="BC87" s="27"/>
      <c r="BD87" s="27"/>
      <c r="BE87" s="27"/>
      <c r="BF87" s="27"/>
      <c r="BG87" s="27"/>
      <c r="BH87" s="27"/>
      <c r="BI87" s="94" t="e">
        <f ca="1">AND(BC28:BC67)</f>
        <v>#VALUE!</v>
      </c>
      <c r="BJ87" s="66" t="e">
        <f ca="1">AND(BD28:BD67)</f>
        <v>#VALUE!</v>
      </c>
      <c r="BK87" s="27"/>
      <c r="BL87" s="27"/>
      <c r="BM87" s="27"/>
      <c r="BN87" s="27"/>
      <c r="BO87" s="27"/>
      <c r="BP87" s="87"/>
    </row>
    <row r="88" spans="1:104" ht="13.15" hidden="1" x14ac:dyDescent="0.4">
      <c r="A88" s="209"/>
      <c r="B88" s="209"/>
      <c r="C88" s="210"/>
      <c r="D88" s="27"/>
      <c r="E88" s="110" t="s">
        <v>82</v>
      </c>
      <c r="F88" s="27"/>
      <c r="G88" s="27" t="b">
        <v>0</v>
      </c>
      <c r="H88" s="30">
        <v>0</v>
      </c>
      <c r="I88" s="141">
        <v>5</v>
      </c>
      <c r="J88" s="136" t="str">
        <f>IF(H88&lt;&gt;0,MAX(J$86:J87)+1,"")</f>
        <v/>
      </c>
      <c r="K88" s="135" t="str">
        <f t="shared" si="69"/>
        <v>Class 10a building</v>
      </c>
      <c r="L88" s="135"/>
      <c r="M88" s="135"/>
      <c r="N88" s="113">
        <v>3</v>
      </c>
      <c r="O88" s="182" t="b">
        <f ca="1">AND(MIPDLClass1&gt;0,$N$138=TRUE,$AW$87)</f>
        <v>0</v>
      </c>
      <c r="P88" s="32"/>
      <c r="Q88" s="208"/>
      <c r="R88" s="113"/>
      <c r="S88" s="33"/>
      <c r="T88" s="155" t="s">
        <v>18</v>
      </c>
      <c r="U88" s="153">
        <v>0.7</v>
      </c>
      <c r="V88" s="154" t="b">
        <v>1</v>
      </c>
      <c r="W88" s="33"/>
      <c r="X88" s="29"/>
      <c r="Y88" s="34"/>
      <c r="Z88" s="27"/>
      <c r="AA88" s="27"/>
      <c r="AB88" s="27"/>
      <c r="AC88" s="27"/>
      <c r="AD88" s="27"/>
      <c r="AE88" s="27"/>
      <c r="AF88" s="27"/>
      <c r="AG88" s="27"/>
      <c r="AH88" s="27"/>
      <c r="AI88" s="27"/>
      <c r="AJ88" s="27"/>
      <c r="AK88" s="27"/>
      <c r="AL88" s="27"/>
      <c r="AM88" s="27"/>
      <c r="AN88" s="27"/>
      <c r="AO88" s="27"/>
      <c r="AP88" s="27"/>
      <c r="AQ88" s="27"/>
      <c r="AR88" s="27"/>
      <c r="AS88" s="187" t="s">
        <v>235</v>
      </c>
      <c r="AT88" s="27"/>
      <c r="AU88" s="27"/>
      <c r="AV88" s="27"/>
      <c r="AW88" s="27"/>
      <c r="AX88" s="27"/>
      <c r="AY88" s="27"/>
      <c r="AZ88" s="27"/>
      <c r="BA88" s="27"/>
      <c r="BB88" s="113"/>
      <c r="BC88" s="27"/>
      <c r="BD88" s="27"/>
      <c r="BE88" s="27"/>
      <c r="BF88" s="27"/>
      <c r="BG88" s="27"/>
      <c r="BH88" s="27"/>
      <c r="BI88" s="27"/>
      <c r="BJ88" s="27"/>
      <c r="BK88" s="27"/>
      <c r="BL88" s="27"/>
      <c r="BM88" s="27"/>
      <c r="BN88" s="27"/>
      <c r="BO88" s="27"/>
      <c r="BP88" s="87"/>
    </row>
    <row r="89" spans="1:104" ht="13.15" hidden="1" x14ac:dyDescent="0.4">
      <c r="A89" s="209"/>
      <c r="B89" s="209"/>
      <c r="C89" s="210"/>
      <c r="D89" s="27"/>
      <c r="E89" s="110" t="s">
        <v>84</v>
      </c>
      <c r="F89" s="27"/>
      <c r="G89" s="27" t="b">
        <v>0</v>
      </c>
      <c r="H89" s="30" t="str">
        <f>IF(COUNTA(E28:E67)=0,0,IF(AND(OR(ClassificationTwo=Class1),Balconytrue),"Verandah or balcony",0))</f>
        <v>Verandah or balcony</v>
      </c>
      <c r="I89" s="141">
        <v>4</v>
      </c>
      <c r="J89" s="136">
        <f>IF(H89&lt;&gt;0,MAX(J$86:J88)+1,"")</f>
        <v>2</v>
      </c>
      <c r="K89" s="135" t="str">
        <f t="shared" si="69"/>
        <v/>
      </c>
      <c r="L89" s="135"/>
      <c r="M89" s="135"/>
      <c r="N89" s="113">
        <v>4</v>
      </c>
      <c r="O89" s="64" t="b">
        <f ca="1">AND($N$150,$AA$70&gt;0)</f>
        <v>0</v>
      </c>
      <c r="P89" s="32"/>
      <c r="Q89" s="208"/>
      <c r="R89" s="113"/>
      <c r="S89" s="33"/>
      <c r="T89" s="155" t="s">
        <v>20</v>
      </c>
      <c r="U89" s="153">
        <v>0.55000000000000004</v>
      </c>
      <c r="V89" s="154" t="b">
        <v>1</v>
      </c>
      <c r="W89" s="33"/>
      <c r="X89" s="29"/>
      <c r="Y89" s="34"/>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113"/>
      <c r="BC89" s="27"/>
      <c r="BD89" s="27"/>
      <c r="BE89" s="27"/>
      <c r="BF89" s="27"/>
      <c r="BG89" s="27"/>
      <c r="BH89" s="27"/>
      <c r="BI89" s="27"/>
      <c r="BJ89" s="27"/>
      <c r="BK89" s="27"/>
      <c r="BL89" s="27"/>
      <c r="BM89" s="27"/>
      <c r="BN89" s="27"/>
      <c r="BO89" s="27"/>
      <c r="BP89" s="87"/>
    </row>
    <row r="90" spans="1:104" ht="13.15" hidden="1" x14ac:dyDescent="0.4">
      <c r="A90" s="209"/>
      <c r="B90" s="209"/>
      <c r="C90" s="210"/>
      <c r="D90" s="27"/>
      <c r="E90" s="110" t="s">
        <v>199</v>
      </c>
      <c r="F90" s="27"/>
      <c r="G90" s="27" t="b">
        <v>0</v>
      </c>
      <c r="H90" s="30" t="str">
        <f>IF(OR(ClassificationTwo=Class1,ClassificationTwo=Class10),"Class 10a building",0)</f>
        <v>Class 10a building</v>
      </c>
      <c r="I90" s="141">
        <v>3</v>
      </c>
      <c r="J90" s="136">
        <f>IF(H90&lt;&gt;0,MAX(J$86:J89)+1,"")</f>
        <v>3</v>
      </c>
      <c r="K90" s="135" t="str">
        <f t="shared" si="69"/>
        <v/>
      </c>
      <c r="L90" s="135"/>
      <c r="M90" s="135"/>
      <c r="N90" s="113">
        <v>5</v>
      </c>
      <c r="O90" s="64" t="e">
        <f ca="1">AND(AT29,Allinputsokres,AU29,BC29,IF(H29="Class 1 building",FailClass1,IF(H29="Class 2 building",FailClass1,IF(H29="Class 4 building",FailClass1,IF(H29="Verandah or balcony",FailBalcony,IF(H29="Class 10 building",FailClass10,"FALSE"))))),NOT(BB29))</f>
        <v>#VALUE!</v>
      </c>
      <c r="P90" s="32"/>
      <c r="Q90" s="208"/>
      <c r="R90" s="113"/>
      <c r="S90" s="35"/>
      <c r="T90" s="156" t="s">
        <v>104</v>
      </c>
      <c r="U90" s="153">
        <v>0.85</v>
      </c>
      <c r="V90" s="154" t="b">
        <v>1</v>
      </c>
      <c r="W90" s="35"/>
      <c r="X90" s="29"/>
      <c r="Y90" s="36"/>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113"/>
      <c r="BC90" s="27"/>
      <c r="BD90" s="27"/>
      <c r="BE90" s="27"/>
      <c r="BF90" s="27"/>
      <c r="BG90" s="27"/>
      <c r="BH90" s="27"/>
      <c r="BI90" s="27"/>
      <c r="BJ90" s="95" t="s">
        <v>103</v>
      </c>
      <c r="BK90" s="27"/>
      <c r="BL90" s="27"/>
      <c r="BM90" s="27"/>
      <c r="BN90" s="27"/>
      <c r="BO90" s="27"/>
      <c r="BP90" s="87"/>
    </row>
    <row r="91" spans="1:104" ht="13.5" hidden="1" thickBot="1" x14ac:dyDescent="0.45">
      <c r="A91" s="209"/>
      <c r="B91" s="209"/>
      <c r="C91" s="210"/>
      <c r="D91" s="27"/>
      <c r="E91" s="110" t="s">
        <v>176</v>
      </c>
      <c r="F91" s="27"/>
      <c r="G91" s="27" t="b">
        <v>0</v>
      </c>
      <c r="H91" s="30"/>
      <c r="I91" s="30"/>
      <c r="J91" s="137">
        <f>COUNT(J86:J90)</f>
        <v>3</v>
      </c>
      <c r="K91" s="28"/>
      <c r="L91" s="113"/>
      <c r="M91" s="113"/>
      <c r="N91" s="113"/>
      <c r="O91" s="183">
        <f>AVERAGE(AG28:AG67)</f>
        <v>3.75</v>
      </c>
      <c r="P91" s="32"/>
      <c r="Q91" s="208"/>
      <c r="R91" s="113"/>
      <c r="S91" s="35"/>
      <c r="T91" s="157" t="s">
        <v>195</v>
      </c>
      <c r="U91" s="153">
        <v>0.85</v>
      </c>
      <c r="V91" s="154" t="b">
        <v>1</v>
      </c>
      <c r="W91" s="35"/>
      <c r="X91" s="29"/>
      <c r="Y91" s="36"/>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113"/>
      <c r="BC91" s="27"/>
      <c r="BD91" s="27"/>
      <c r="BE91" s="27"/>
      <c r="BF91" s="27"/>
      <c r="BG91" s="27"/>
      <c r="BH91" s="27"/>
      <c r="BI91" s="27"/>
      <c r="BJ91" s="66" t="e">
        <f ca="1">OR(BD28:BD67)</f>
        <v>#VALUE!</v>
      </c>
      <c r="BK91" s="27"/>
      <c r="BL91" s="27"/>
      <c r="BM91" s="27"/>
      <c r="BN91" s="27"/>
      <c r="BO91" s="27"/>
      <c r="BP91" s="87"/>
    </row>
    <row r="92" spans="1:104" hidden="1" x14ac:dyDescent="0.35">
      <c r="A92" s="209"/>
      <c r="B92" s="209"/>
      <c r="C92" s="210"/>
      <c r="D92" s="27"/>
      <c r="E92" s="110" t="s">
        <v>83</v>
      </c>
      <c r="F92" s="27"/>
      <c r="G92" s="27" t="b">
        <v>0</v>
      </c>
      <c r="H92" s="30"/>
      <c r="I92" s="30"/>
      <c r="J92" s="28"/>
      <c r="K92" s="28"/>
      <c r="L92" s="113"/>
      <c r="M92" s="113"/>
      <c r="N92" s="32"/>
      <c r="O92" s="32"/>
      <c r="P92" s="32"/>
      <c r="Q92" s="208"/>
      <c r="R92" s="113"/>
      <c r="S92" s="35"/>
      <c r="T92" s="156" t="s">
        <v>133</v>
      </c>
      <c r="U92" s="153">
        <v>0.9</v>
      </c>
      <c r="V92" s="154" t="b">
        <v>1</v>
      </c>
      <c r="W92" s="35"/>
      <c r="X92" s="29"/>
      <c r="Y92" s="36"/>
      <c r="Z92" s="27"/>
      <c r="AA92" s="27"/>
      <c r="AB92" s="27"/>
      <c r="AC92" s="27"/>
      <c r="AD92" s="27"/>
      <c r="AE92" s="27"/>
      <c r="AF92" s="27"/>
      <c r="AG92" s="27"/>
      <c r="AH92" s="27"/>
      <c r="AI92" s="27"/>
      <c r="AJ92" s="27"/>
      <c r="AK92" s="27"/>
      <c r="AL92" s="27"/>
      <c r="AM92" s="27"/>
      <c r="AN92" s="27"/>
      <c r="AO92" s="27"/>
      <c r="AP92" s="27"/>
      <c r="AQ92" s="27"/>
      <c r="AR92" s="27"/>
      <c r="AS92" s="59"/>
      <c r="AT92" s="59"/>
      <c r="AU92" s="59"/>
      <c r="AV92" s="59"/>
      <c r="AW92" s="27"/>
      <c r="AX92" s="27"/>
      <c r="AY92" s="27"/>
      <c r="AZ92" s="27"/>
      <c r="BA92" s="27"/>
      <c r="BB92" s="113"/>
      <c r="BC92" s="27"/>
      <c r="BD92" s="27"/>
      <c r="BE92" s="27"/>
      <c r="BF92" s="27"/>
      <c r="BG92" s="27"/>
      <c r="BH92" s="27"/>
      <c r="BI92" s="27"/>
      <c r="BJ92" s="27"/>
      <c r="BK92" s="27"/>
      <c r="BL92" s="27"/>
      <c r="BM92" s="27"/>
      <c r="BN92" s="27"/>
      <c r="BO92" s="27"/>
      <c r="BP92" s="87"/>
    </row>
    <row r="93" spans="1:104" hidden="1" x14ac:dyDescent="0.35">
      <c r="A93" s="209"/>
      <c r="B93" s="209"/>
      <c r="C93" s="210"/>
      <c r="D93" s="27"/>
      <c r="E93" s="110" t="s">
        <v>175</v>
      </c>
      <c r="F93" s="27"/>
      <c r="G93" s="27" t="b">
        <v>0</v>
      </c>
      <c r="H93" s="30"/>
      <c r="I93" s="30"/>
      <c r="J93" s="28"/>
      <c r="K93" s="28"/>
      <c r="L93" s="113"/>
      <c r="M93" s="113"/>
      <c r="N93" s="32"/>
      <c r="O93" s="32"/>
      <c r="P93" s="32"/>
      <c r="Q93" s="208"/>
      <c r="R93" s="113"/>
      <c r="S93" s="35"/>
      <c r="T93" s="156" t="s">
        <v>32</v>
      </c>
      <c r="U93" s="153">
        <v>0.8</v>
      </c>
      <c r="V93" s="154" t="b">
        <v>1</v>
      </c>
      <c r="W93" s="35"/>
      <c r="X93" s="29"/>
      <c r="Y93" s="36"/>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113"/>
      <c r="BC93" s="27"/>
      <c r="BD93" s="27"/>
      <c r="BE93" s="27"/>
      <c r="BF93" s="27"/>
      <c r="BG93" s="27"/>
      <c r="BH93" s="27"/>
      <c r="BI93" s="27"/>
      <c r="BJ93" s="27"/>
      <c r="BK93" s="27"/>
      <c r="BL93" s="27"/>
      <c r="BM93" s="27"/>
      <c r="BN93" s="27"/>
      <c r="BO93" s="27"/>
      <c r="BP93" s="87"/>
    </row>
    <row r="94" spans="1:104" hidden="1" x14ac:dyDescent="0.35">
      <c r="A94" s="209"/>
      <c r="B94" s="209"/>
      <c r="C94" s="210"/>
      <c r="D94" s="27"/>
      <c r="E94" s="110" t="s">
        <v>91</v>
      </c>
      <c r="F94" s="27"/>
      <c r="G94" s="27" t="b">
        <v>1</v>
      </c>
      <c r="H94" s="30"/>
      <c r="I94" s="30"/>
      <c r="J94" s="28"/>
      <c r="K94" s="28"/>
      <c r="L94" s="113"/>
      <c r="M94" s="113"/>
      <c r="N94" s="32"/>
      <c r="O94" s="32"/>
      <c r="P94" s="32"/>
      <c r="Q94" s="208"/>
      <c r="R94" s="113"/>
      <c r="S94" s="35"/>
      <c r="T94" s="156" t="s">
        <v>134</v>
      </c>
      <c r="U94" s="153"/>
      <c r="V94" s="158" t="b">
        <v>0</v>
      </c>
      <c r="W94" s="35"/>
      <c r="X94" s="29"/>
      <c r="Y94" s="36"/>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113"/>
      <c r="BC94" s="27"/>
      <c r="BD94" s="27"/>
      <c r="BE94" s="27"/>
      <c r="BF94" s="27"/>
      <c r="BG94" s="27"/>
      <c r="BH94" s="27"/>
      <c r="BI94" s="27"/>
      <c r="BJ94" s="27"/>
      <c r="BK94" s="27"/>
      <c r="BL94" s="27"/>
      <c r="BM94" s="27"/>
      <c r="BN94" s="27"/>
      <c r="BO94" s="27"/>
      <c r="BP94" s="87"/>
    </row>
    <row r="95" spans="1:104" hidden="1" x14ac:dyDescent="0.35">
      <c r="A95" s="209"/>
      <c r="B95" s="209"/>
      <c r="C95" s="210"/>
      <c r="D95" s="27"/>
      <c r="E95" s="110" t="s">
        <v>85</v>
      </c>
      <c r="F95" s="27"/>
      <c r="G95" s="27" t="b">
        <v>0</v>
      </c>
      <c r="H95" s="30"/>
      <c r="I95" s="30"/>
      <c r="J95" s="28"/>
      <c r="K95" s="28"/>
      <c r="L95" s="113"/>
      <c r="M95" s="113"/>
      <c r="N95" s="32"/>
      <c r="O95" s="32"/>
      <c r="P95" s="32"/>
      <c r="Q95" s="208"/>
      <c r="R95" s="113"/>
      <c r="S95" s="35"/>
      <c r="T95" s="156" t="s">
        <v>135</v>
      </c>
      <c r="U95" s="153"/>
      <c r="V95" s="158" t="b">
        <v>0</v>
      </c>
      <c r="W95" s="35"/>
      <c r="X95" s="29"/>
      <c r="Y95" s="36"/>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113"/>
      <c r="BC95" s="27"/>
      <c r="BD95" s="27"/>
      <c r="BE95" s="27"/>
      <c r="BF95" s="27"/>
      <c r="BG95" s="27"/>
      <c r="BH95" s="27"/>
      <c r="BI95" s="27"/>
      <c r="BJ95" s="27"/>
      <c r="BK95" s="27"/>
      <c r="BL95" s="27"/>
      <c r="BM95" s="27"/>
      <c r="BN95" s="27"/>
      <c r="BO95" s="27"/>
      <c r="BP95" s="87"/>
    </row>
    <row r="96" spans="1:104" hidden="1" x14ac:dyDescent="0.35">
      <c r="A96" s="209"/>
      <c r="B96" s="209"/>
      <c r="C96" s="210"/>
      <c r="D96" s="27"/>
      <c r="E96" s="27"/>
      <c r="F96" s="27"/>
      <c r="G96" s="27"/>
      <c r="H96" s="27"/>
      <c r="I96" s="27"/>
      <c r="J96" s="27"/>
      <c r="K96" s="27"/>
      <c r="L96" s="27"/>
      <c r="M96" s="27"/>
      <c r="N96" s="27"/>
      <c r="O96" s="187" t="s">
        <v>233</v>
      </c>
      <c r="P96" s="32"/>
      <c r="Q96" s="208"/>
      <c r="R96" s="113"/>
      <c r="S96" s="35"/>
      <c r="T96" s="156" t="s">
        <v>139</v>
      </c>
      <c r="U96" s="153">
        <v>0.5</v>
      </c>
      <c r="V96" s="158" t="b">
        <v>1</v>
      </c>
      <c r="W96" s="35"/>
      <c r="X96" s="29"/>
      <c r="Y96" s="36"/>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113"/>
      <c r="BC96" s="27"/>
      <c r="BD96" s="27"/>
      <c r="BE96" s="27"/>
      <c r="BF96" s="27"/>
      <c r="BG96" s="27"/>
      <c r="BH96" s="27"/>
      <c r="BI96" s="27"/>
      <c r="BJ96" s="27"/>
      <c r="BK96" s="27"/>
      <c r="BL96" s="27"/>
      <c r="BM96" s="27"/>
      <c r="BN96" s="27"/>
      <c r="BO96" s="27"/>
      <c r="BP96" s="87"/>
    </row>
    <row r="97" spans="1:68" ht="13.15" hidden="1" x14ac:dyDescent="0.4">
      <c r="A97" s="209"/>
      <c r="B97" s="209"/>
      <c r="C97" s="210"/>
      <c r="D97" s="27"/>
      <c r="E97" s="27"/>
      <c r="F97" s="27"/>
      <c r="G97" s="116" t="s">
        <v>62</v>
      </c>
      <c r="H97" s="69"/>
      <c r="I97" s="30"/>
      <c r="J97" s="28"/>
      <c r="K97" s="139" t="s">
        <v>63</v>
      </c>
      <c r="L97" s="263"/>
      <c r="M97" s="263"/>
      <c r="N97" s="32"/>
      <c r="O97" s="117" t="s">
        <v>167</v>
      </c>
      <c r="P97" s="32"/>
      <c r="Q97" s="208"/>
      <c r="R97" s="113"/>
      <c r="S97" s="35"/>
      <c r="T97" s="156" t="s">
        <v>140</v>
      </c>
      <c r="U97" s="153">
        <v>0.6</v>
      </c>
      <c r="V97" s="158" t="b">
        <v>1</v>
      </c>
      <c r="W97" s="35"/>
      <c r="X97" s="29"/>
      <c r="Y97" s="36"/>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59"/>
      <c r="AX97" s="27"/>
      <c r="AY97" s="27"/>
      <c r="AZ97" s="27"/>
      <c r="BA97" s="27"/>
      <c r="BB97" s="113"/>
      <c r="BC97" s="27"/>
      <c r="BD97" s="27"/>
      <c r="BE97" s="27"/>
      <c r="BF97" s="27"/>
      <c r="BG97" s="27"/>
      <c r="BH97" s="27"/>
      <c r="BI97" s="27"/>
      <c r="BJ97" s="27"/>
      <c r="BK97" s="27"/>
      <c r="BL97" s="27"/>
      <c r="BM97" s="27"/>
      <c r="BN97" s="27"/>
      <c r="BO97" s="27"/>
      <c r="BP97" s="87"/>
    </row>
    <row r="98" spans="1:68" hidden="1" x14ac:dyDescent="0.35">
      <c r="A98" s="209"/>
      <c r="B98" s="209"/>
      <c r="C98" s="210"/>
      <c r="D98" s="27"/>
      <c r="E98" s="27"/>
      <c r="F98" s="27"/>
      <c r="G98" s="30" t="s">
        <v>166</v>
      </c>
      <c r="H98" s="30"/>
      <c r="I98" s="30"/>
      <c r="J98" s="28" t="b">
        <f>ISBLANK((DescriptionTwo))</f>
        <v>0</v>
      </c>
      <c r="K98" s="71" t="str">
        <f>IF(J98,"1.  ENTER BUILDING NAME AND DESCRIPTION BELOW - identifying the particular part(s) covered by this assessment.","")</f>
        <v/>
      </c>
      <c r="L98" s="71"/>
      <c r="M98" s="71"/>
      <c r="N98" s="30" t="s">
        <v>126</v>
      </c>
      <c r="O98" s="62" t="str">
        <f>IF(AND(ClassificationTwo=Class1,V70&gt;0),"Class 1 building","")</f>
        <v>Class 1 building</v>
      </c>
      <c r="P98" s="32"/>
      <c r="Q98" s="208"/>
      <c r="R98" s="113"/>
      <c r="S98" s="35"/>
      <c r="T98" s="159">
        <v>0</v>
      </c>
      <c r="U98" s="153"/>
      <c r="V98" s="160" t="b">
        <v>1</v>
      </c>
      <c r="W98" s="29"/>
      <c r="X98" s="29"/>
      <c r="Y98" s="36"/>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113"/>
      <c r="BC98" s="27"/>
      <c r="BD98" s="27"/>
      <c r="BE98" s="27"/>
      <c r="BF98" s="27"/>
      <c r="BG98" s="27"/>
      <c r="BH98" s="27"/>
      <c r="BI98" s="27"/>
      <c r="BJ98" s="27"/>
      <c r="BK98" s="27"/>
      <c r="BL98" s="27"/>
      <c r="BM98" s="27"/>
      <c r="BN98" s="27"/>
      <c r="BO98" s="27"/>
      <c r="BP98" s="87"/>
    </row>
    <row r="99" spans="1:68" hidden="1" x14ac:dyDescent="0.35">
      <c r="A99" s="209"/>
      <c r="B99" s="209"/>
      <c r="C99" s="210"/>
      <c r="D99" s="27"/>
      <c r="E99" s="27"/>
      <c r="F99" s="27"/>
      <c r="G99" s="111" t="s">
        <v>151</v>
      </c>
      <c r="H99" s="111"/>
      <c r="I99" s="30"/>
      <c r="J99" s="28"/>
      <c r="K99" s="71"/>
      <c r="L99" s="71"/>
      <c r="M99" s="71"/>
      <c r="N99" s="30" t="s">
        <v>234</v>
      </c>
      <c r="O99" s="62" t="str">
        <f>IF(AND(ClassificationTwo=Class1,AA70&gt;0),"Verandah or balcony","")</f>
        <v>Verandah or balcony</v>
      </c>
      <c r="P99" s="32"/>
      <c r="Q99" s="208"/>
      <c r="R99" s="113"/>
      <c r="S99" s="35"/>
      <c r="T99" s="162" t="s">
        <v>204</v>
      </c>
      <c r="U99" s="105"/>
      <c r="V99" s="105"/>
      <c r="W99" s="29"/>
      <c r="X99" s="29"/>
      <c r="Y99" s="36"/>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113"/>
      <c r="BC99" s="27"/>
      <c r="BD99" s="27"/>
      <c r="BE99" s="27"/>
      <c r="BF99" s="27"/>
      <c r="BG99" s="27"/>
      <c r="BH99" s="27"/>
      <c r="BI99" s="27"/>
      <c r="BJ99" s="27"/>
      <c r="BK99" s="27"/>
      <c r="BL99" s="27"/>
      <c r="BM99" s="27"/>
      <c r="BN99" s="27"/>
      <c r="BO99" s="27"/>
      <c r="BP99" s="87"/>
    </row>
    <row r="100" spans="1:68" hidden="1" x14ac:dyDescent="0.35">
      <c r="A100" s="209"/>
      <c r="B100" s="209"/>
      <c r="C100" s="210"/>
      <c r="D100" s="27"/>
      <c r="E100" s="27"/>
      <c r="F100" s="27"/>
      <c r="G100" s="112" t="s">
        <v>152</v>
      </c>
      <c r="H100" s="112"/>
      <c r="I100" s="30"/>
      <c r="J100" s="28" t="b">
        <f>AND(NOT(J98),ISBLANK(ClassificationTwo))</f>
        <v>0</v>
      </c>
      <c r="K100" s="71" t="str">
        <f>IF(J100,"2.  ENTER CLASSIFICATION","")</f>
        <v/>
      </c>
      <c r="L100" s="71"/>
      <c r="M100" s="71"/>
      <c r="N100" s="30" t="s">
        <v>127</v>
      </c>
      <c r="O100" s="62" t="str">
        <f>IF(AND(ClassificationTwo=Class1,AF70&gt;0),"Class 10a building (associated with a Class 1 building)",IF(AND(ClassificationTwo=Class10,AF70&gt;0),"Class 10 building (associated with a Class 1 building)",""))</f>
        <v>Class 10a building (associated with a Class 1 building)</v>
      </c>
      <c r="P100" s="37"/>
      <c r="Q100" s="208"/>
      <c r="R100" s="35"/>
      <c r="S100" s="161" t="s">
        <v>206</v>
      </c>
      <c r="T100" s="105"/>
      <c r="U100" s="105"/>
      <c r="V100" s="35"/>
      <c r="W100" s="35"/>
      <c r="X100" s="29"/>
      <c r="Y100" s="36"/>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113"/>
      <c r="BC100" s="27"/>
      <c r="BD100" s="27"/>
      <c r="BE100" s="27"/>
      <c r="BF100" s="27"/>
      <c r="BG100" s="27"/>
      <c r="BH100" s="27"/>
      <c r="BI100" s="27"/>
      <c r="BJ100" s="27"/>
      <c r="BK100" s="27"/>
      <c r="BL100" s="27"/>
      <c r="BM100" s="27"/>
      <c r="BN100" s="27"/>
      <c r="BO100" s="27"/>
      <c r="BP100" s="87"/>
    </row>
    <row r="101" spans="1:68" ht="13.15" hidden="1" x14ac:dyDescent="0.4">
      <c r="A101" s="209"/>
      <c r="B101" s="209"/>
      <c r="C101" s="210"/>
      <c r="D101" s="27"/>
      <c r="E101" s="27"/>
      <c r="F101" s="27"/>
      <c r="G101" s="112" t="s">
        <v>153</v>
      </c>
      <c r="H101" s="112"/>
      <c r="I101" s="30"/>
      <c r="J101" s="28" t="b">
        <f>AND(NOT(J98),NOT(J100),COUNTA(D28:M67)=0)</f>
        <v>0</v>
      </c>
      <c r="K101" s="71" t="str">
        <f>IF(J101,"3.  Enter lighting system details.","")</f>
        <v/>
      </c>
      <c r="L101" s="71"/>
      <c r="M101" s="71"/>
      <c r="N101" s="113"/>
      <c r="O101" s="577" t="s">
        <v>129</v>
      </c>
      <c r="P101" s="577"/>
      <c r="Q101" s="208"/>
      <c r="R101" s="35"/>
      <c r="S101" s="105"/>
      <c r="T101" s="105"/>
      <c r="U101" s="106"/>
      <c r="V101" s="35"/>
      <c r="W101" s="35"/>
      <c r="X101" s="29"/>
      <c r="Y101" s="36"/>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113"/>
      <c r="BC101" s="27"/>
      <c r="BD101" s="27"/>
      <c r="BE101" s="27"/>
      <c r="BF101" s="27"/>
      <c r="BG101" s="27"/>
      <c r="BH101" s="27"/>
      <c r="BI101" s="27"/>
      <c r="BJ101" s="27"/>
      <c r="BK101" s="27"/>
      <c r="BL101" s="27"/>
      <c r="BM101" s="27"/>
      <c r="BN101" s="27"/>
      <c r="BO101" s="27"/>
      <c r="BP101" s="87"/>
    </row>
    <row r="102" spans="1:68" ht="13.15" hidden="1" x14ac:dyDescent="0.4">
      <c r="A102" s="209"/>
      <c r="B102" s="209"/>
      <c r="C102" s="210"/>
      <c r="D102" s="27"/>
      <c r="E102" s="27"/>
      <c r="F102" s="27"/>
      <c r="G102" s="30"/>
      <c r="H102" s="30"/>
      <c r="I102" s="30"/>
      <c r="J102" s="28"/>
      <c r="K102" s="28"/>
      <c r="L102" s="113"/>
      <c r="M102" s="113"/>
      <c r="N102" s="113"/>
      <c r="O102" s="102" t="s">
        <v>45</v>
      </c>
      <c r="P102" s="103" t="s">
        <v>46</v>
      </c>
      <c r="Q102" s="208"/>
      <c r="R102" s="35"/>
      <c r="S102" s="107"/>
      <c r="T102" s="106"/>
      <c r="U102" s="106"/>
      <c r="V102" s="35"/>
      <c r="W102" s="35"/>
      <c r="X102" s="29"/>
      <c r="Y102" s="36"/>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113"/>
      <c r="BC102" s="27"/>
      <c r="BD102" s="27"/>
      <c r="BE102" s="27"/>
      <c r="BF102" s="27"/>
      <c r="BG102" s="27"/>
      <c r="BH102" s="27"/>
      <c r="BI102" s="27"/>
      <c r="BJ102" s="27"/>
      <c r="BK102" s="27"/>
      <c r="BL102" s="27"/>
      <c r="BM102" s="27"/>
      <c r="BN102" s="27"/>
      <c r="BO102" s="27"/>
      <c r="BP102" s="87"/>
    </row>
    <row r="103" spans="1:68" hidden="1" x14ac:dyDescent="0.35">
      <c r="A103" s="209"/>
      <c r="B103" s="209"/>
      <c r="C103" s="210"/>
      <c r="D103" s="27"/>
      <c r="E103" s="27"/>
      <c r="F103" s="27"/>
      <c r="G103" s="112" t="s">
        <v>168</v>
      </c>
      <c r="H103" s="112"/>
      <c r="I103" s="30"/>
      <c r="J103" s="28" t="b">
        <f>AND(NOT(ISBLANK(DescriptionTwo)),NOT(ISBLANK(ClassificationTwo)))</f>
        <v>1</v>
      </c>
      <c r="K103" s="114" t="s">
        <v>193</v>
      </c>
      <c r="L103" s="114"/>
      <c r="M103" s="114"/>
      <c r="N103" s="30" t="s">
        <v>128</v>
      </c>
      <c r="O103" s="119" t="str">
        <f ca="1">IF(AND(InputIssuesTwo=0,V70&gt;0),ROUND(X70,PrecisionTwo),"")</f>
        <v/>
      </c>
      <c r="P103" s="120" t="str">
        <f ca="1">IF(AND(InputIssuesTwo=0,V70&gt;0),ROUND(W70/V70,PrecisionTwo),"")</f>
        <v/>
      </c>
      <c r="Q103" s="185" t="e">
        <f ca="1">P103/O103</f>
        <v>#VALUE!</v>
      </c>
      <c r="R103" s="114" t="s">
        <v>230</v>
      </c>
      <c r="S103" s="32"/>
      <c r="T103" s="35"/>
      <c r="U103" s="35"/>
      <c r="V103" s="35"/>
      <c r="W103" s="35"/>
      <c r="X103" s="29"/>
      <c r="Y103" s="36"/>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113"/>
      <c r="BC103" s="27"/>
      <c r="BD103" s="27"/>
      <c r="BE103" s="27"/>
      <c r="BF103" s="27"/>
      <c r="BG103" s="27"/>
      <c r="BH103" s="27"/>
      <c r="BI103" s="27"/>
      <c r="BJ103" s="27"/>
      <c r="BK103" s="27"/>
      <c r="BL103" s="27"/>
      <c r="BM103" s="27"/>
      <c r="BN103" s="27"/>
      <c r="BO103" s="27"/>
      <c r="BP103" s="87"/>
    </row>
    <row r="104" spans="1:68" hidden="1" x14ac:dyDescent="0.35">
      <c r="A104" s="209"/>
      <c r="B104" s="209"/>
      <c r="C104" s="210"/>
      <c r="D104" s="27"/>
      <c r="E104" s="27"/>
      <c r="F104" s="27"/>
      <c r="G104" s="30"/>
      <c r="H104" s="30"/>
      <c r="I104" s="30"/>
      <c r="J104" s="28"/>
      <c r="K104" s="28"/>
      <c r="L104" s="113"/>
      <c r="M104" s="113"/>
      <c r="N104" s="30" t="s">
        <v>125</v>
      </c>
      <c r="O104" s="119" t="str">
        <f ca="1">O103</f>
        <v/>
      </c>
      <c r="P104" s="120" t="str">
        <f ca="1">P103</f>
        <v/>
      </c>
      <c r="Q104" s="185" t="e">
        <f ca="1">P104/O104</f>
        <v>#VALUE!</v>
      </c>
      <c r="R104" s="114"/>
      <c r="S104" s="32"/>
      <c r="T104" s="35"/>
      <c r="U104" s="35"/>
      <c r="V104" s="35"/>
      <c r="W104" s="35"/>
      <c r="X104" s="29"/>
      <c r="Y104" s="36"/>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113"/>
      <c r="BC104" s="27"/>
      <c r="BD104" s="27"/>
      <c r="BE104" s="27"/>
      <c r="BF104" s="27"/>
      <c r="BG104" s="27"/>
      <c r="BH104" s="27"/>
      <c r="BI104" s="27"/>
      <c r="BJ104" s="27"/>
      <c r="BK104" s="27"/>
      <c r="BL104" s="27"/>
      <c r="BM104" s="27"/>
      <c r="BN104" s="27"/>
      <c r="BO104" s="27"/>
      <c r="BP104" s="87"/>
    </row>
    <row r="105" spans="1:68" hidden="1" x14ac:dyDescent="0.35">
      <c r="A105" s="209"/>
      <c r="B105" s="209"/>
      <c r="C105" s="210"/>
      <c r="D105" s="27"/>
      <c r="E105" s="27"/>
      <c r="F105" s="27"/>
      <c r="G105" s="30"/>
      <c r="H105" s="30"/>
      <c r="I105" s="30"/>
      <c r="J105" s="28"/>
      <c r="K105" s="28"/>
      <c r="L105" s="113"/>
      <c r="M105" s="113"/>
      <c r="N105" s="30" t="s">
        <v>91</v>
      </c>
      <c r="O105" s="119" t="str">
        <f ca="1">IF(AND(InputIssuesTwo=0,AA70&gt;0),ROUND(AC70,PrecisionTwo),"")</f>
        <v/>
      </c>
      <c r="P105" s="120" t="str">
        <f ca="1">IF(AND(InputIssuesTwo=0,AA70&gt;0),ROUND(AB70/AA70,PrecisionTwo),"")</f>
        <v/>
      </c>
      <c r="Q105" s="185" t="e">
        <f ca="1">P105/O105</f>
        <v>#VALUE!</v>
      </c>
      <c r="R105" s="114" t="s">
        <v>231</v>
      </c>
      <c r="S105" s="32"/>
      <c r="T105" s="35"/>
      <c r="U105" s="35"/>
      <c r="V105" s="35"/>
      <c r="W105" s="35"/>
      <c r="X105" s="29"/>
      <c r="Y105" s="36"/>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113"/>
      <c r="BC105" s="27"/>
      <c r="BD105" s="27"/>
      <c r="BE105" s="27"/>
      <c r="BF105" s="27"/>
      <c r="BG105" s="27"/>
      <c r="BH105" s="27"/>
      <c r="BI105" s="27"/>
      <c r="BJ105" s="27"/>
      <c r="BK105" s="27"/>
      <c r="BL105" s="27"/>
      <c r="BM105" s="27"/>
      <c r="BN105" s="27"/>
      <c r="BO105" s="27"/>
      <c r="BP105" s="87"/>
    </row>
    <row r="106" spans="1:68" ht="13.15" hidden="1" x14ac:dyDescent="0.4">
      <c r="A106" s="209"/>
      <c r="B106" s="209"/>
      <c r="C106" s="210"/>
      <c r="D106" s="27"/>
      <c r="E106" s="27"/>
      <c r="F106" s="27"/>
      <c r="G106" s="30"/>
      <c r="H106" s="30"/>
      <c r="I106" s="30"/>
      <c r="J106" s="28"/>
      <c r="K106" s="28"/>
      <c r="L106" s="113"/>
      <c r="M106" s="113"/>
      <c r="N106" s="30" t="s">
        <v>124</v>
      </c>
      <c r="O106" s="119" t="str">
        <f ca="1">IF(AND(InputIssuesTwo=0,AF70&gt;0),ROUND(AH70,PrecisionTwo),"")</f>
        <v/>
      </c>
      <c r="P106" s="120" t="str">
        <f ca="1">IF(AND(InputIssuesTwo=0,AF70&gt;0),ROUND(AG70/AF70,PrecisionTwo),"")</f>
        <v/>
      </c>
      <c r="Q106" s="185" t="e">
        <f ca="1">P106/O106</f>
        <v>#VALUE!</v>
      </c>
      <c r="R106" s="114" t="s">
        <v>232</v>
      </c>
      <c r="S106" s="63" t="s">
        <v>37</v>
      </c>
      <c r="T106" s="35"/>
      <c r="U106" s="35"/>
      <c r="V106" s="35"/>
      <c r="W106" s="35"/>
      <c r="X106" s="29"/>
      <c r="Y106" s="29"/>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113"/>
      <c r="BC106" s="27"/>
      <c r="BD106" s="27"/>
      <c r="BE106" s="27"/>
      <c r="BF106" s="27"/>
      <c r="BG106" s="27"/>
      <c r="BH106" s="27"/>
      <c r="BI106" s="27"/>
      <c r="BJ106" s="27"/>
      <c r="BK106" s="27"/>
      <c r="BL106" s="27"/>
      <c r="BM106" s="27"/>
      <c r="BN106" s="27"/>
      <c r="BO106" s="27"/>
      <c r="BP106" s="87"/>
    </row>
    <row r="107" spans="1:68" hidden="1" x14ac:dyDescent="0.35">
      <c r="A107" s="209"/>
      <c r="B107" s="209"/>
      <c r="C107" s="210"/>
      <c r="D107" s="27"/>
      <c r="E107" s="27"/>
      <c r="F107" s="27"/>
      <c r="G107" s="30"/>
      <c r="H107" s="30"/>
      <c r="I107" s="30"/>
      <c r="J107" s="28"/>
      <c r="K107" s="28"/>
      <c r="L107" s="113"/>
      <c r="M107" s="113"/>
      <c r="N107" s="114" t="s">
        <v>156</v>
      </c>
      <c r="O107" s="32"/>
      <c r="P107" s="32"/>
      <c r="Q107" s="208"/>
      <c r="R107" s="35"/>
      <c r="S107" s="151" t="s">
        <v>35</v>
      </c>
      <c r="T107" s="32"/>
      <c r="U107" s="32"/>
      <c r="V107" s="32"/>
      <c r="W107" s="32"/>
      <c r="X107" s="35"/>
      <c r="Y107" s="29"/>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113"/>
      <c r="BC107" s="27"/>
      <c r="BD107" s="27"/>
      <c r="BE107" s="27"/>
      <c r="BF107" s="27"/>
      <c r="BG107" s="27"/>
      <c r="BH107" s="27"/>
      <c r="BI107" s="27"/>
      <c r="BJ107" s="27"/>
      <c r="BK107" s="27"/>
      <c r="BL107" s="27"/>
      <c r="BM107" s="27"/>
      <c r="BN107" s="27"/>
      <c r="BO107" s="27"/>
      <c r="BP107" s="87"/>
    </row>
    <row r="108" spans="1:68" ht="13.15" hidden="1" x14ac:dyDescent="0.4">
      <c r="A108" s="209"/>
      <c r="B108" s="209"/>
      <c r="C108" s="210"/>
      <c r="D108" s="27"/>
      <c r="E108" s="27"/>
      <c r="F108" s="27"/>
      <c r="G108" s="88" t="s">
        <v>97</v>
      </c>
      <c r="H108" s="88"/>
      <c r="I108" s="89"/>
      <c r="J108" s="70"/>
      <c r="K108" s="28"/>
      <c r="L108" s="113"/>
      <c r="M108" s="113"/>
      <c r="N108" s="114" t="s">
        <v>157</v>
      </c>
      <c r="O108" s="27"/>
      <c r="P108" s="27"/>
      <c r="Q108" s="208"/>
      <c r="R108" s="27"/>
      <c r="S108" s="151" t="s">
        <v>217</v>
      </c>
      <c r="T108" s="27"/>
      <c r="U108" s="27"/>
      <c r="V108" s="27"/>
      <c r="W108" s="27"/>
      <c r="X108" s="29"/>
      <c r="Y108" s="29"/>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113"/>
      <c r="BC108" s="27"/>
      <c r="BD108" s="27"/>
      <c r="BE108" s="27"/>
      <c r="BF108" s="27"/>
      <c r="BG108" s="27"/>
      <c r="BH108" s="27"/>
      <c r="BI108" s="27"/>
      <c r="BJ108" s="27"/>
      <c r="BK108" s="27"/>
      <c r="BL108" s="27"/>
      <c r="BM108" s="27"/>
      <c r="BN108" s="27"/>
      <c r="BO108" s="27"/>
      <c r="BP108" s="87"/>
    </row>
    <row r="109" spans="1:68" hidden="1" x14ac:dyDescent="0.35">
      <c r="A109" s="209"/>
      <c r="B109" s="209"/>
      <c r="C109" s="210"/>
      <c r="D109" s="27"/>
      <c r="E109" s="27"/>
      <c r="F109" s="27"/>
      <c r="G109" s="30"/>
      <c r="H109" s="30"/>
      <c r="I109" s="30"/>
      <c r="J109" s="28"/>
      <c r="K109" s="28"/>
      <c r="L109" s="113"/>
      <c r="M109" s="113"/>
      <c r="N109" s="114" t="s">
        <v>164</v>
      </c>
      <c r="O109" s="27"/>
      <c r="P109" s="27"/>
      <c r="Q109" s="208"/>
      <c r="R109" s="27"/>
      <c r="S109" s="151"/>
      <c r="T109" s="27"/>
      <c r="U109" s="27"/>
      <c r="V109" s="27"/>
      <c r="W109" s="27"/>
      <c r="X109" s="29"/>
      <c r="Y109" s="29"/>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113"/>
      <c r="BC109" s="27"/>
      <c r="BD109" s="27"/>
      <c r="BE109" s="27"/>
      <c r="BF109" s="27"/>
      <c r="BG109" s="27"/>
      <c r="BH109" s="27"/>
      <c r="BI109" s="27"/>
      <c r="BJ109" s="27"/>
      <c r="BK109" s="27"/>
      <c r="BL109" s="27"/>
      <c r="BM109" s="27"/>
      <c r="BN109" s="27"/>
      <c r="BO109" s="27"/>
      <c r="BP109" s="87"/>
    </row>
    <row r="110" spans="1:68" hidden="1" x14ac:dyDescent="0.35">
      <c r="A110" s="209"/>
      <c r="B110" s="209"/>
      <c r="C110" s="210"/>
      <c r="D110" s="27"/>
      <c r="E110" s="27"/>
      <c r="F110" s="27"/>
      <c r="G110" s="30" t="s">
        <v>98</v>
      </c>
      <c r="H110" s="30"/>
      <c r="I110" s="93" t="b">
        <f ca="1">AND(PassClass1,PassBalcony,PassClass10,I112)</f>
        <v>0</v>
      </c>
      <c r="J110" s="205" t="str">
        <f ca="1">IF(AND(I110,I112),"Green","n/a")</f>
        <v>n/a</v>
      </c>
      <c r="K110" s="114" t="s">
        <v>242</v>
      </c>
      <c r="L110" s="114"/>
      <c r="M110" s="114"/>
      <c r="N110" s="114" t="s">
        <v>165</v>
      </c>
      <c r="O110" s="27"/>
      <c r="P110" s="27"/>
      <c r="Q110" s="208"/>
      <c r="R110" s="27"/>
      <c r="S110" s="110"/>
      <c r="T110" s="27"/>
      <c r="U110" s="27"/>
      <c r="V110" s="27"/>
      <c r="W110" s="27"/>
      <c r="X110" s="29"/>
      <c r="Y110" s="29"/>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113"/>
      <c r="BC110" s="27"/>
      <c r="BD110" s="27"/>
      <c r="BE110" s="27"/>
      <c r="BF110" s="27"/>
      <c r="BG110" s="27"/>
      <c r="BH110" s="27"/>
      <c r="BI110" s="27"/>
      <c r="BJ110" s="27"/>
      <c r="BK110" s="27"/>
      <c r="BL110" s="27"/>
      <c r="BM110" s="27"/>
      <c r="BN110" s="27"/>
      <c r="BO110" s="27"/>
      <c r="BP110" s="87"/>
    </row>
    <row r="111" spans="1:68" hidden="1" x14ac:dyDescent="0.35">
      <c r="A111" s="209"/>
      <c r="B111" s="209"/>
      <c r="C111" s="210"/>
      <c r="D111" s="27"/>
      <c r="E111" s="27"/>
      <c r="F111" s="27"/>
      <c r="G111" s="30" t="s">
        <v>100</v>
      </c>
      <c r="H111" s="30"/>
      <c r="I111" s="93" t="b">
        <f ca="1">OR(FailClass1,FailBalcony,FailClass10)</f>
        <v>0</v>
      </c>
      <c r="J111" s="205" t="str">
        <f ca="1">IF(AND(I111,I112),"Red","n/a")</f>
        <v>n/a</v>
      </c>
      <c r="K111" s="114" t="s">
        <v>242</v>
      </c>
      <c r="L111" s="114"/>
      <c r="M111" s="114"/>
      <c r="N111" s="113"/>
      <c r="O111" s="27"/>
      <c r="P111" s="27"/>
      <c r="Q111" s="208"/>
      <c r="R111" s="27"/>
      <c r="S111" s="114" t="s">
        <v>205</v>
      </c>
      <c r="T111" s="27"/>
      <c r="U111" s="27"/>
      <c r="V111" s="27"/>
      <c r="W111" s="27"/>
      <c r="X111" s="29"/>
      <c r="Y111" s="29"/>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113"/>
      <c r="BC111" s="27"/>
      <c r="BD111" s="27"/>
      <c r="BE111" s="27"/>
      <c r="BF111" s="27"/>
      <c r="BG111" s="27"/>
      <c r="BH111" s="27"/>
      <c r="BI111" s="27"/>
      <c r="BJ111" s="27"/>
      <c r="BK111" s="27"/>
      <c r="BL111" s="27"/>
      <c r="BM111" s="27"/>
      <c r="BN111" s="27"/>
      <c r="BO111" s="27"/>
      <c r="BP111" s="87"/>
    </row>
    <row r="112" spans="1:68" ht="13.15" hidden="1" x14ac:dyDescent="0.4">
      <c r="A112" s="209"/>
      <c r="B112" s="209"/>
      <c r="C112" s="210"/>
      <c r="D112" s="27"/>
      <c r="E112" s="27"/>
      <c r="F112" s="27"/>
      <c r="G112" s="30" t="s">
        <v>99</v>
      </c>
      <c r="H112" s="30"/>
      <c r="I112" s="30" t="b">
        <f ca="1">AND(Allinputsokres,TopInputsOKTwo,InputIssuesTwo=0)</f>
        <v>0</v>
      </c>
      <c r="J112" s="28"/>
      <c r="K112" s="28"/>
      <c r="L112" s="113"/>
      <c r="M112" s="113"/>
      <c r="N112" s="295" t="s">
        <v>225</v>
      </c>
      <c r="O112" s="27"/>
      <c r="P112" s="27"/>
      <c r="Q112" s="208"/>
      <c r="R112" s="27"/>
      <c r="S112" s="27"/>
      <c r="T112" s="27"/>
      <c r="U112" s="27"/>
      <c r="V112" s="27"/>
      <c r="W112" s="27"/>
      <c r="X112" s="29"/>
      <c r="Y112" s="29"/>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113"/>
      <c r="BC112" s="27"/>
      <c r="BD112" s="27"/>
      <c r="BE112" s="27"/>
      <c r="BF112" s="27"/>
      <c r="BG112" s="27"/>
      <c r="BH112" s="27"/>
      <c r="BI112" s="27"/>
      <c r="BJ112" s="27"/>
      <c r="BK112" s="27"/>
      <c r="BL112" s="27"/>
      <c r="BM112" s="27"/>
      <c r="BN112" s="27"/>
      <c r="BO112" s="27"/>
      <c r="BP112" s="87"/>
    </row>
    <row r="113" spans="1:68" ht="13.15" hidden="1" x14ac:dyDescent="0.4">
      <c r="A113" s="209"/>
      <c r="B113" s="209"/>
      <c r="C113" s="210"/>
      <c r="D113" s="27"/>
      <c r="E113" s="27"/>
      <c r="F113" s="27"/>
      <c r="G113" s="27"/>
      <c r="H113" s="30"/>
      <c r="I113" s="30"/>
      <c r="J113" s="28"/>
      <c r="K113" s="28"/>
      <c r="L113" s="113"/>
      <c r="M113" s="113"/>
      <c r="N113" s="175">
        <v>1</v>
      </c>
      <c r="O113" s="114" t="s">
        <v>240</v>
      </c>
      <c r="P113" s="27"/>
      <c r="Q113" s="208"/>
      <c r="R113" s="27"/>
      <c r="S113" s="27"/>
      <c r="T113" s="27"/>
      <c r="U113" s="27"/>
      <c r="V113" s="27"/>
      <c r="W113" s="27"/>
      <c r="X113" s="29"/>
      <c r="Y113" s="29"/>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113"/>
      <c r="BC113" s="27"/>
      <c r="BD113" s="27"/>
      <c r="BE113" s="27"/>
      <c r="BF113" s="27"/>
      <c r="BG113" s="27"/>
      <c r="BH113" s="27"/>
      <c r="BI113" s="27"/>
      <c r="BJ113" s="27"/>
      <c r="BK113" s="27"/>
      <c r="BL113" s="27"/>
      <c r="BM113" s="27"/>
      <c r="BN113" s="27"/>
      <c r="BO113" s="27"/>
      <c r="BP113" s="87"/>
    </row>
    <row r="114" spans="1:68" hidden="1" x14ac:dyDescent="0.35">
      <c r="A114" s="209"/>
      <c r="B114" s="209"/>
      <c r="C114" s="210"/>
      <c r="D114" s="27"/>
      <c r="E114" s="27"/>
      <c r="F114" s="27"/>
      <c r="G114" s="27"/>
      <c r="H114" s="30"/>
      <c r="I114" s="30"/>
      <c r="J114" s="28"/>
      <c r="K114" s="28"/>
      <c r="L114" s="113"/>
      <c r="M114" s="113"/>
      <c r="N114" s="27"/>
      <c r="O114" s="27"/>
      <c r="P114" s="27"/>
      <c r="Q114" s="208"/>
      <c r="R114" s="27"/>
      <c r="S114" s="27"/>
      <c r="T114" s="27"/>
      <c r="U114" s="27"/>
      <c r="V114" s="27"/>
      <c r="W114" s="27"/>
      <c r="X114" s="29"/>
      <c r="Y114" s="29"/>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113"/>
      <c r="BC114" s="27"/>
      <c r="BD114" s="27"/>
      <c r="BE114" s="27"/>
      <c r="BF114" s="27"/>
      <c r="BG114" s="27"/>
      <c r="BH114" s="27"/>
      <c r="BI114" s="27"/>
      <c r="BJ114" s="27"/>
      <c r="BK114" s="27"/>
      <c r="BL114" s="27"/>
      <c r="BM114" s="27"/>
      <c r="BN114" s="27"/>
      <c r="BO114" s="27"/>
      <c r="BP114" s="87"/>
    </row>
    <row r="115" spans="1:68" hidden="1" x14ac:dyDescent="0.35">
      <c r="A115" s="209"/>
      <c r="B115" s="209"/>
      <c r="C115" s="210"/>
      <c r="D115" s="27"/>
      <c r="E115" s="27"/>
      <c r="F115" s="27"/>
      <c r="G115" s="27"/>
      <c r="H115" s="30"/>
      <c r="I115" s="30"/>
      <c r="J115" s="28"/>
      <c r="K115" s="28"/>
      <c r="L115" s="113"/>
      <c r="M115" s="113"/>
      <c r="N115" s="27"/>
      <c r="O115" s="27"/>
      <c r="P115" s="27"/>
      <c r="Q115" s="208"/>
      <c r="R115" s="27"/>
      <c r="S115" s="27"/>
      <c r="T115" s="27"/>
      <c r="U115" s="27"/>
      <c r="V115" s="27"/>
      <c r="W115" s="27"/>
      <c r="X115" s="29"/>
      <c r="Y115" s="29"/>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113"/>
      <c r="BC115" s="27"/>
      <c r="BD115" s="27"/>
      <c r="BE115" s="27"/>
      <c r="BF115" s="27"/>
      <c r="BG115" s="27"/>
      <c r="BH115" s="27"/>
      <c r="BI115" s="27"/>
      <c r="BJ115" s="27"/>
      <c r="BK115" s="27"/>
      <c r="BL115" s="27"/>
      <c r="BM115" s="27"/>
      <c r="BN115" s="27"/>
      <c r="BO115" s="27"/>
      <c r="BP115" s="87"/>
    </row>
    <row r="116" spans="1:68" ht="13.15" hidden="1" x14ac:dyDescent="0.4">
      <c r="A116" s="209"/>
      <c r="B116" s="209"/>
      <c r="C116" s="210"/>
      <c r="D116" s="27"/>
      <c r="E116" s="27"/>
      <c r="F116" s="27"/>
      <c r="G116" s="27"/>
      <c r="H116" s="101" t="s">
        <v>138</v>
      </c>
      <c r="I116" s="30"/>
      <c r="J116" s="28"/>
      <c r="K116" s="28"/>
      <c r="L116" s="113"/>
      <c r="M116" s="113"/>
      <c r="N116" s="27"/>
      <c r="O116" s="27"/>
      <c r="P116" s="27"/>
      <c r="Q116" s="208"/>
      <c r="R116" s="27"/>
      <c r="S116" s="27"/>
      <c r="T116" s="27"/>
      <c r="U116" s="27"/>
      <c r="V116" s="27"/>
      <c r="W116" s="27"/>
      <c r="X116" s="29"/>
      <c r="Y116" s="29"/>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113"/>
      <c r="BC116" s="27"/>
      <c r="BD116" s="27"/>
      <c r="BE116" s="27"/>
      <c r="BF116" s="27"/>
      <c r="BG116" s="27"/>
      <c r="BH116" s="27"/>
      <c r="BI116" s="27"/>
      <c r="BJ116" s="27"/>
      <c r="BK116" s="27"/>
      <c r="BL116" s="27"/>
      <c r="BM116" s="27"/>
      <c r="BN116" s="27"/>
      <c r="BO116" s="27"/>
      <c r="BP116" s="87"/>
    </row>
    <row r="117" spans="1:68" hidden="1" x14ac:dyDescent="0.35">
      <c r="A117" s="209"/>
      <c r="B117" s="209"/>
      <c r="C117" s="210"/>
      <c r="D117" s="27"/>
      <c r="E117" s="27"/>
      <c r="F117" s="27"/>
      <c r="G117" s="27"/>
      <c r="H117" s="30"/>
      <c r="I117" s="30"/>
      <c r="J117" s="28"/>
      <c r="K117" s="28"/>
      <c r="L117" s="113"/>
      <c r="M117" s="113"/>
      <c r="N117" s="27"/>
      <c r="O117" s="27"/>
      <c r="P117" s="27"/>
      <c r="Q117" s="208"/>
      <c r="R117" s="27"/>
      <c r="S117" s="27"/>
      <c r="T117" s="27"/>
      <c r="U117" s="27"/>
      <c r="V117" s="27"/>
      <c r="W117" s="27"/>
      <c r="X117" s="29"/>
      <c r="Y117" s="29"/>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113"/>
      <c r="BC117" s="27"/>
      <c r="BD117" s="27"/>
      <c r="BE117" s="27"/>
      <c r="BF117" s="27"/>
      <c r="BG117" s="27"/>
      <c r="BH117" s="27"/>
      <c r="BI117" s="27"/>
      <c r="BJ117" s="27"/>
      <c r="BK117" s="27"/>
      <c r="BL117" s="27"/>
      <c r="BM117" s="27"/>
      <c r="BN117" s="27"/>
      <c r="BO117" s="27"/>
      <c r="BP117" s="87"/>
    </row>
    <row r="118" spans="1:68" hidden="1" x14ac:dyDescent="0.35">
      <c r="A118" s="209"/>
      <c r="B118" s="209"/>
      <c r="C118" s="210"/>
      <c r="D118" s="27"/>
      <c r="E118" s="27"/>
      <c r="F118" s="27"/>
      <c r="G118" s="27"/>
      <c r="H118" s="30" t="str">
        <f>IF(OR(AND(V73,AA73),AND(V73,AF73),AND(AA73,AF73)),"Separate aggregate allowances are calculated for Class 1, 2 or 4 cases; for a verandah or balcony; or for a Class 10 building. The '% of Allowance Used' outcomes refer to these aggregate allowances.","")</f>
        <v>Separate aggregate allowances are calculated for Class 1, 2 or 4 cases; for a verandah or balcony; or for a Class 10 building. The '% of Allowance Used' outcomes refer to these aggregate allowances.</v>
      </c>
      <c r="I118" s="30"/>
      <c r="J118" s="28"/>
      <c r="K118" s="28"/>
      <c r="L118" s="113"/>
      <c r="M118" s="113"/>
      <c r="N118" s="27"/>
      <c r="O118" s="27"/>
      <c r="P118" s="27"/>
      <c r="Q118" s="208"/>
      <c r="R118" s="27"/>
      <c r="S118" s="27"/>
      <c r="T118" s="27"/>
      <c r="U118" s="27"/>
      <c r="V118" s="27"/>
      <c r="W118" s="27"/>
      <c r="X118" s="29"/>
      <c r="Y118" s="29"/>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113"/>
      <c r="BC118" s="27"/>
      <c r="BD118" s="27"/>
      <c r="BE118" s="27"/>
      <c r="BF118" s="27"/>
      <c r="BG118" s="27"/>
      <c r="BH118" s="27"/>
      <c r="BI118" s="27"/>
      <c r="BJ118" s="27"/>
      <c r="BK118" s="27"/>
      <c r="BL118" s="27"/>
      <c r="BM118" s="27"/>
      <c r="BN118" s="27"/>
      <c r="BO118" s="27"/>
      <c r="BP118" s="87"/>
    </row>
    <row r="119" spans="1:68" hidden="1" x14ac:dyDescent="0.35">
      <c r="A119" s="209"/>
      <c r="B119" s="209"/>
      <c r="C119" s="210"/>
      <c r="D119" s="27"/>
      <c r="E119" s="27"/>
      <c r="F119" s="27"/>
      <c r="G119" s="27"/>
      <c r="H119" s="30" t="b">
        <f>OR(AND(V73,AA73),AND(V73,AF73),AND(AA73,AF73))</f>
        <v>1</v>
      </c>
      <c r="I119" s="114" t="s">
        <v>178</v>
      </c>
      <c r="J119" s="28"/>
      <c r="K119" s="28"/>
      <c r="L119" s="113"/>
      <c r="M119" s="113"/>
      <c r="N119" s="27"/>
      <c r="O119" s="27"/>
      <c r="P119" s="27"/>
      <c r="Q119" s="208"/>
      <c r="R119" s="27"/>
      <c r="S119" s="27"/>
      <c r="T119" s="27"/>
      <c r="U119" s="27"/>
      <c r="V119" s="27"/>
      <c r="W119" s="27"/>
      <c r="X119" s="29"/>
      <c r="Y119" s="29"/>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113"/>
      <c r="BC119" s="27"/>
      <c r="BD119" s="27"/>
      <c r="BE119" s="27"/>
      <c r="BF119" s="27"/>
      <c r="BG119" s="27"/>
      <c r="BH119" s="27"/>
      <c r="BI119" s="27"/>
      <c r="BJ119" s="27"/>
      <c r="BK119" s="27"/>
      <c r="BL119" s="27"/>
      <c r="BM119" s="27"/>
      <c r="BN119" s="27"/>
      <c r="BO119" s="27"/>
      <c r="BP119" s="87"/>
    </row>
    <row r="120" spans="1:68" hidden="1" x14ac:dyDescent="0.35">
      <c r="A120" s="209"/>
      <c r="B120" s="209"/>
      <c r="C120" s="210"/>
      <c r="D120" s="27"/>
      <c r="E120" s="27"/>
      <c r="F120" s="27"/>
      <c r="G120" s="27"/>
      <c r="H120" s="121"/>
      <c r="I120" s="30"/>
      <c r="J120" s="28"/>
      <c r="K120" s="28"/>
      <c r="L120" s="113"/>
      <c r="M120" s="113"/>
      <c r="N120" s="27"/>
      <c r="O120" s="27"/>
      <c r="P120" s="27"/>
      <c r="Q120" s="208"/>
      <c r="R120" s="27"/>
      <c r="S120" s="27"/>
      <c r="T120" s="27"/>
      <c r="U120" s="27"/>
      <c r="V120" s="27"/>
      <c r="W120" s="27"/>
      <c r="X120" s="29"/>
      <c r="Y120" s="29"/>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113"/>
      <c r="BC120" s="27"/>
      <c r="BD120" s="27"/>
      <c r="BE120" s="27"/>
      <c r="BF120" s="27"/>
      <c r="BG120" s="27"/>
      <c r="BH120" s="27"/>
      <c r="BI120" s="27"/>
      <c r="BJ120" s="27"/>
      <c r="BK120" s="27"/>
      <c r="BL120" s="27"/>
      <c r="BM120" s="27"/>
      <c r="BN120" s="27"/>
      <c r="BO120" s="27"/>
      <c r="BP120" s="87"/>
    </row>
    <row r="121" spans="1:68" hidden="1" x14ac:dyDescent="0.35">
      <c r="A121" s="209"/>
      <c r="B121" s="209"/>
      <c r="C121" s="210"/>
      <c r="D121" s="27"/>
      <c r="E121" s="27"/>
      <c r="F121" s="27"/>
      <c r="G121" s="27"/>
      <c r="H121" s="112"/>
      <c r="I121" s="30"/>
      <c r="J121" s="28"/>
      <c r="K121" s="28"/>
      <c r="L121" s="113"/>
      <c r="M121" s="113"/>
      <c r="N121" s="27"/>
      <c r="O121" s="27"/>
      <c r="P121" s="27"/>
      <c r="Q121" s="208"/>
      <c r="R121" s="27"/>
      <c r="S121" s="27"/>
      <c r="T121" s="27"/>
      <c r="U121" s="27"/>
      <c r="V121" s="27"/>
      <c r="W121" s="27"/>
      <c r="X121" s="29"/>
      <c r="Y121" s="29"/>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113"/>
      <c r="BC121" s="27"/>
      <c r="BD121" s="27"/>
      <c r="BE121" s="27"/>
      <c r="BF121" s="27"/>
      <c r="BG121" s="27"/>
      <c r="BH121" s="27"/>
      <c r="BI121" s="27"/>
      <c r="BJ121" s="27"/>
      <c r="BK121" s="27"/>
      <c r="BL121" s="27"/>
      <c r="BM121" s="27"/>
      <c r="BN121" s="27"/>
      <c r="BO121" s="27"/>
      <c r="BP121" s="87"/>
    </row>
    <row r="122" spans="1:68" hidden="1" x14ac:dyDescent="0.35">
      <c r="A122" s="209"/>
      <c r="B122" s="209"/>
      <c r="C122" s="210"/>
      <c r="D122" s="27"/>
      <c r="E122" s="27"/>
      <c r="F122" s="27"/>
      <c r="G122" s="27"/>
      <c r="H122" s="30"/>
      <c r="I122" s="27"/>
      <c r="J122" s="28"/>
      <c r="K122" s="28"/>
      <c r="L122" s="113"/>
      <c r="M122" s="113"/>
      <c r="N122" s="27"/>
      <c r="O122" s="27"/>
      <c r="P122" s="27"/>
      <c r="Q122" s="208"/>
      <c r="R122" s="27"/>
      <c r="S122" s="27"/>
      <c r="T122" s="27"/>
      <c r="U122" s="27"/>
      <c r="V122" s="27"/>
      <c r="W122" s="27"/>
      <c r="X122" s="29"/>
      <c r="Y122" s="29"/>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113"/>
      <c r="BC122" s="27"/>
      <c r="BD122" s="27"/>
      <c r="BE122" s="27"/>
      <c r="BF122" s="27"/>
      <c r="BG122" s="27"/>
      <c r="BH122" s="27"/>
      <c r="BI122" s="27"/>
      <c r="BJ122" s="27"/>
      <c r="BK122" s="27"/>
      <c r="BL122" s="27"/>
      <c r="BM122" s="27"/>
      <c r="BN122" s="27"/>
      <c r="BO122" s="27"/>
      <c r="BP122" s="87"/>
    </row>
    <row r="123" spans="1:68" hidden="1" x14ac:dyDescent="0.35">
      <c r="A123" s="209"/>
      <c r="B123" s="209"/>
      <c r="C123" s="210"/>
      <c r="D123" s="27"/>
      <c r="E123" s="27"/>
      <c r="F123" s="27"/>
      <c r="G123" s="27"/>
      <c r="H123" s="30"/>
      <c r="I123" s="27"/>
      <c r="J123" s="28"/>
      <c r="K123" s="28"/>
      <c r="L123" s="113"/>
      <c r="M123" s="113"/>
      <c r="N123" s="27"/>
      <c r="O123" s="27"/>
      <c r="P123" s="27"/>
      <c r="Q123" s="208"/>
      <c r="R123" s="27"/>
      <c r="S123" s="27"/>
      <c r="T123" s="27"/>
      <c r="U123" s="27"/>
      <c r="V123" s="27"/>
      <c r="W123" s="27"/>
      <c r="X123" s="29"/>
      <c r="Y123" s="29"/>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113"/>
      <c r="BC123" s="27"/>
      <c r="BD123" s="27"/>
      <c r="BE123" s="27"/>
      <c r="BF123" s="27"/>
      <c r="BG123" s="27"/>
      <c r="BH123" s="27"/>
      <c r="BI123" s="27"/>
      <c r="BJ123" s="27"/>
      <c r="BK123" s="27"/>
      <c r="BL123" s="27"/>
      <c r="BM123" s="27"/>
      <c r="BN123" s="27"/>
      <c r="BO123" s="27"/>
      <c r="BP123" s="87"/>
    </row>
    <row r="124" spans="1:68" hidden="1" x14ac:dyDescent="0.35">
      <c r="A124" s="209"/>
      <c r="B124" s="209"/>
      <c r="C124" s="210"/>
      <c r="D124" s="27"/>
      <c r="E124" s="27"/>
      <c r="F124" s="27"/>
      <c r="G124" s="27"/>
      <c r="H124" s="30"/>
      <c r="I124" s="27"/>
      <c r="J124" s="28"/>
      <c r="K124" s="28"/>
      <c r="L124" s="113"/>
      <c r="M124" s="113"/>
      <c r="N124" s="27"/>
      <c r="O124" s="27"/>
      <c r="P124" s="27"/>
      <c r="Q124" s="208"/>
      <c r="R124" s="27"/>
      <c r="S124" s="27"/>
      <c r="T124" s="27"/>
      <c r="U124" s="27"/>
      <c r="V124" s="27"/>
      <c r="W124" s="27"/>
      <c r="X124" s="29"/>
      <c r="Y124" s="29"/>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113"/>
      <c r="BC124" s="27"/>
      <c r="BD124" s="27"/>
      <c r="BE124" s="27"/>
      <c r="BF124" s="27"/>
      <c r="BG124" s="27"/>
      <c r="BH124" s="27"/>
      <c r="BI124" s="27"/>
      <c r="BJ124" s="27"/>
      <c r="BK124" s="27"/>
      <c r="BL124" s="27"/>
      <c r="BM124" s="27"/>
      <c r="BN124" s="27"/>
      <c r="BO124" s="27"/>
      <c r="BP124" s="87"/>
    </row>
    <row r="125" spans="1:68" hidden="1" x14ac:dyDescent="0.35">
      <c r="A125" s="209"/>
      <c r="B125" s="209"/>
      <c r="C125" s="210"/>
      <c r="D125" s="27"/>
      <c r="E125" s="27"/>
      <c r="F125" s="27"/>
      <c r="G125" s="27"/>
      <c r="H125" s="30"/>
      <c r="I125" s="27"/>
      <c r="J125" s="28"/>
      <c r="K125" s="28"/>
      <c r="L125" s="113"/>
      <c r="M125" s="113"/>
      <c r="N125" s="27"/>
      <c r="O125" s="27"/>
      <c r="P125" s="27"/>
      <c r="Q125" s="208"/>
      <c r="R125" s="27"/>
      <c r="S125" s="27"/>
      <c r="T125" s="27"/>
      <c r="U125" s="27"/>
      <c r="V125" s="27"/>
      <c r="W125" s="27"/>
      <c r="X125" s="29"/>
      <c r="Y125" s="29"/>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113"/>
      <c r="BC125" s="27"/>
      <c r="BD125" s="27"/>
      <c r="BE125" s="27"/>
      <c r="BF125" s="27"/>
      <c r="BG125" s="27"/>
      <c r="BH125" s="27"/>
      <c r="BI125" s="27"/>
      <c r="BJ125" s="27"/>
      <c r="BK125" s="27"/>
      <c r="BL125" s="27"/>
      <c r="BM125" s="27"/>
      <c r="BN125" s="27"/>
      <c r="BO125" s="27"/>
      <c r="BP125" s="87"/>
    </row>
    <row r="126" spans="1:68" hidden="1" x14ac:dyDescent="0.35">
      <c r="A126" s="209"/>
      <c r="B126" s="209"/>
      <c r="C126" s="210"/>
      <c r="D126" s="27"/>
      <c r="E126" s="27"/>
      <c r="F126" s="27"/>
      <c r="G126" s="27"/>
      <c r="H126" s="30"/>
      <c r="I126" s="27"/>
      <c r="J126" s="28"/>
      <c r="K126" s="28"/>
      <c r="L126" s="113"/>
      <c r="M126" s="113"/>
      <c r="N126" s="27"/>
      <c r="O126" s="27"/>
      <c r="P126" s="27"/>
      <c r="Q126" s="208"/>
      <c r="R126" s="27"/>
      <c r="S126" s="27"/>
      <c r="T126" s="27"/>
      <c r="U126" s="27"/>
      <c r="V126" s="27"/>
      <c r="W126" s="27"/>
      <c r="X126" s="29"/>
      <c r="Y126" s="29"/>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113"/>
      <c r="BC126" s="27"/>
      <c r="BD126" s="27"/>
      <c r="BE126" s="27"/>
      <c r="BF126" s="27"/>
      <c r="BG126" s="27"/>
      <c r="BH126" s="27"/>
      <c r="BI126" s="27"/>
      <c r="BJ126" s="27"/>
      <c r="BK126" s="27"/>
      <c r="BL126" s="27"/>
      <c r="BM126" s="27"/>
      <c r="BN126" s="27"/>
      <c r="BO126" s="27"/>
      <c r="BP126" s="87"/>
    </row>
    <row r="127" spans="1:68" hidden="1" x14ac:dyDescent="0.35">
      <c r="A127" s="209"/>
      <c r="B127" s="209"/>
      <c r="C127" s="210"/>
      <c r="D127" s="27"/>
      <c r="E127" s="27"/>
      <c r="F127" s="27"/>
      <c r="G127" s="27"/>
      <c r="H127" s="30"/>
      <c r="I127" s="27"/>
      <c r="J127" s="28"/>
      <c r="K127" s="28"/>
      <c r="L127" s="113"/>
      <c r="M127" s="113"/>
      <c r="N127" s="27"/>
      <c r="O127" s="27"/>
      <c r="P127" s="27"/>
      <c r="Q127" s="208"/>
      <c r="R127" s="27"/>
      <c r="S127" s="27"/>
      <c r="T127" s="27"/>
      <c r="U127" s="27"/>
      <c r="V127" s="27"/>
      <c r="W127" s="27"/>
      <c r="X127" s="29"/>
      <c r="Y127" s="29"/>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113"/>
      <c r="BC127" s="27"/>
      <c r="BD127" s="27"/>
      <c r="BE127" s="27"/>
      <c r="BF127" s="27"/>
      <c r="BG127" s="27"/>
      <c r="BH127" s="27"/>
      <c r="BI127" s="27"/>
      <c r="BJ127" s="27"/>
      <c r="BK127" s="27"/>
      <c r="BL127" s="27"/>
      <c r="BM127" s="27"/>
      <c r="BN127" s="27"/>
      <c r="BO127" s="27"/>
      <c r="BP127" s="87"/>
    </row>
    <row r="128" spans="1:68" hidden="1" x14ac:dyDescent="0.35">
      <c r="A128" s="209"/>
      <c r="B128" s="209"/>
      <c r="C128" s="210"/>
      <c r="D128" s="27"/>
      <c r="E128" s="27"/>
      <c r="F128" s="27"/>
      <c r="G128" s="27"/>
      <c r="H128" s="30"/>
      <c r="I128" s="27"/>
      <c r="J128" s="28"/>
      <c r="K128" s="28"/>
      <c r="L128" s="113"/>
      <c r="M128" s="113"/>
      <c r="N128" s="27"/>
      <c r="O128" s="27"/>
      <c r="P128" s="27"/>
      <c r="Q128" s="208"/>
      <c r="R128" s="27"/>
      <c r="S128" s="27"/>
      <c r="T128" s="27"/>
      <c r="U128" s="27"/>
      <c r="V128" s="27"/>
      <c r="W128" s="27"/>
      <c r="X128" s="29"/>
      <c r="Y128" s="29"/>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113"/>
      <c r="BC128" s="27"/>
      <c r="BD128" s="27"/>
      <c r="BE128" s="27"/>
      <c r="BF128" s="27"/>
      <c r="BG128" s="27"/>
      <c r="BH128" s="27"/>
      <c r="BI128" s="27"/>
      <c r="BJ128" s="27"/>
      <c r="BK128" s="27"/>
      <c r="BL128" s="27"/>
      <c r="BM128" s="27"/>
      <c r="BN128" s="27"/>
      <c r="BO128" s="27"/>
      <c r="BP128" s="87"/>
    </row>
    <row r="129" spans="1:68" hidden="1" x14ac:dyDescent="0.35">
      <c r="A129" s="209"/>
      <c r="B129" s="209"/>
      <c r="C129" s="210"/>
      <c r="D129" s="27"/>
      <c r="E129" s="27"/>
      <c r="F129" s="27"/>
      <c r="G129" s="27"/>
      <c r="H129" s="30"/>
      <c r="I129" s="27"/>
      <c r="J129" s="28"/>
      <c r="K129" s="28"/>
      <c r="L129" s="113"/>
      <c r="M129" s="113"/>
      <c r="N129" s="27"/>
      <c r="O129" s="27"/>
      <c r="P129" s="27"/>
      <c r="Q129" s="208"/>
      <c r="R129" s="27"/>
      <c r="S129" s="27"/>
      <c r="T129" s="27"/>
      <c r="U129" s="27"/>
      <c r="V129" s="27"/>
      <c r="W129" s="27"/>
      <c r="X129" s="29"/>
      <c r="Y129" s="29"/>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113"/>
      <c r="BC129" s="27"/>
      <c r="BD129" s="27"/>
      <c r="BE129" s="27"/>
      <c r="BF129" s="27"/>
      <c r="BG129" s="27"/>
      <c r="BH129" s="27"/>
      <c r="BI129" s="27"/>
      <c r="BJ129" s="27"/>
      <c r="BK129" s="27"/>
      <c r="BL129" s="27"/>
      <c r="BM129" s="27"/>
      <c r="BN129" s="27"/>
      <c r="BO129" s="27"/>
      <c r="BP129" s="87"/>
    </row>
    <row r="130" spans="1:68" hidden="1" x14ac:dyDescent="0.35">
      <c r="A130" s="209"/>
      <c r="B130" s="209"/>
      <c r="C130" s="210"/>
      <c r="D130" s="27"/>
      <c r="E130" s="27"/>
      <c r="F130" s="27"/>
      <c r="G130" s="27"/>
      <c r="H130" s="30"/>
      <c r="I130" s="27"/>
      <c r="J130" s="28"/>
      <c r="K130" s="28"/>
      <c r="L130" s="113"/>
      <c r="M130" s="113"/>
      <c r="N130" s="27"/>
      <c r="O130" s="27"/>
      <c r="P130" s="27"/>
      <c r="Q130" s="208"/>
      <c r="R130" s="27"/>
      <c r="S130" s="27"/>
      <c r="T130" s="27"/>
      <c r="U130" s="27"/>
      <c r="V130" s="27"/>
      <c r="W130" s="27"/>
      <c r="X130" s="29"/>
      <c r="Y130" s="29"/>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113"/>
      <c r="BC130" s="27"/>
      <c r="BD130" s="27"/>
      <c r="BE130" s="27"/>
      <c r="BF130" s="27"/>
      <c r="BG130" s="27"/>
      <c r="BH130" s="27"/>
      <c r="BI130" s="27"/>
      <c r="BJ130" s="27"/>
      <c r="BK130" s="27"/>
      <c r="BL130" s="27"/>
      <c r="BM130" s="27"/>
      <c r="BN130" s="27"/>
      <c r="BO130" s="27"/>
      <c r="BP130" s="87"/>
    </row>
    <row r="131" spans="1:68" ht="13.15" hidden="1" x14ac:dyDescent="0.4">
      <c r="A131" s="209"/>
      <c r="B131" s="209"/>
      <c r="C131" s="210"/>
      <c r="D131" s="27"/>
      <c r="E131" s="27"/>
      <c r="F131" s="27"/>
      <c r="G131" s="27"/>
      <c r="H131" s="88" t="s">
        <v>89</v>
      </c>
      <c r="I131" s="27"/>
      <c r="J131" s="28"/>
      <c r="K131" s="28"/>
      <c r="L131" s="113"/>
      <c r="M131" s="113"/>
      <c r="N131" s="27"/>
      <c r="O131" s="27"/>
      <c r="P131" s="27"/>
      <c r="Q131" s="208"/>
      <c r="R131" s="27"/>
      <c r="S131" s="27"/>
      <c r="T131" s="27"/>
      <c r="U131" s="27"/>
      <c r="V131" s="27"/>
      <c r="W131" s="27"/>
      <c r="X131" s="29"/>
      <c r="Y131" s="29"/>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113"/>
      <c r="BC131" s="27"/>
      <c r="BD131" s="27"/>
      <c r="BE131" s="27"/>
      <c r="BF131" s="27"/>
      <c r="BG131" s="27"/>
      <c r="BH131" s="27"/>
      <c r="BI131" s="27"/>
      <c r="BJ131" s="27"/>
      <c r="BK131" s="27"/>
      <c r="BL131" s="27"/>
      <c r="BM131" s="27"/>
      <c r="BN131" s="27"/>
      <c r="BO131" s="27"/>
      <c r="BP131" s="87"/>
    </row>
    <row r="132" spans="1:68" hidden="1" x14ac:dyDescent="0.35">
      <c r="A132" s="209"/>
      <c r="B132" s="209"/>
      <c r="C132" s="210"/>
      <c r="D132" s="27"/>
      <c r="E132" s="27"/>
      <c r="F132" s="27"/>
      <c r="G132" s="27"/>
      <c r="H132" s="30" t="s">
        <v>6</v>
      </c>
      <c r="I132" s="87" t="e">
        <f ca="1">O70/N70</f>
        <v>#VALUE!</v>
      </c>
      <c r="J132" s="114" t="s">
        <v>179</v>
      </c>
      <c r="K132" s="28"/>
      <c r="L132" s="113"/>
      <c r="M132" s="113"/>
      <c r="N132" s="27"/>
      <c r="O132" s="27"/>
      <c r="P132" s="27"/>
      <c r="Q132" s="208"/>
      <c r="R132" s="27"/>
      <c r="S132" s="27"/>
      <c r="T132" s="27"/>
      <c r="U132" s="27"/>
      <c r="V132" s="27"/>
      <c r="W132" s="27"/>
      <c r="X132" s="29"/>
      <c r="Y132" s="29"/>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113"/>
      <c r="BC132" s="27"/>
      <c r="BD132" s="27"/>
      <c r="BE132" s="27"/>
      <c r="BF132" s="27"/>
      <c r="BG132" s="27"/>
      <c r="BH132" s="27"/>
      <c r="BI132" s="27"/>
      <c r="BJ132" s="27"/>
      <c r="BK132" s="27"/>
      <c r="BL132" s="27"/>
      <c r="BM132" s="27"/>
      <c r="BN132" s="27"/>
      <c r="BO132" s="27"/>
      <c r="BP132" s="87"/>
    </row>
    <row r="133" spans="1:68" hidden="1" x14ac:dyDescent="0.35">
      <c r="A133" s="209"/>
      <c r="B133" s="209"/>
      <c r="C133" s="210"/>
      <c r="D133" s="27"/>
      <c r="E133" s="27"/>
      <c r="F133" s="27"/>
      <c r="G133" s="27"/>
      <c r="H133" s="30"/>
      <c r="I133" s="27"/>
      <c r="J133" s="28"/>
      <c r="K133" s="28"/>
      <c r="L133" s="113"/>
      <c r="M133" s="113"/>
      <c r="N133" s="27"/>
      <c r="O133" s="27"/>
      <c r="P133" s="27"/>
      <c r="Q133" s="208"/>
      <c r="R133" s="27"/>
      <c r="S133" s="27"/>
      <c r="T133" s="27"/>
      <c r="U133" s="27"/>
      <c r="V133" s="27"/>
      <c r="W133" s="27"/>
      <c r="X133" s="29"/>
      <c r="Y133" s="29"/>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113"/>
      <c r="BC133" s="27"/>
      <c r="BD133" s="27"/>
      <c r="BE133" s="27"/>
      <c r="BF133" s="27"/>
      <c r="BG133" s="27"/>
      <c r="BH133" s="27"/>
      <c r="BI133" s="27"/>
      <c r="BJ133" s="27"/>
      <c r="BK133" s="27"/>
      <c r="BL133" s="27"/>
      <c r="BM133" s="27"/>
      <c r="BN133" s="27"/>
      <c r="BO133" s="27"/>
      <c r="BP133" s="87"/>
    </row>
    <row r="134" spans="1:68" ht="13.15" hidden="1" x14ac:dyDescent="0.4">
      <c r="A134" s="209"/>
      <c r="B134" s="209"/>
      <c r="C134" s="210"/>
      <c r="D134" s="27"/>
      <c r="E134" s="27"/>
      <c r="F134" s="27"/>
      <c r="G134" s="27"/>
      <c r="H134" s="88" t="s">
        <v>88</v>
      </c>
      <c r="I134" s="27"/>
      <c r="J134" s="28"/>
      <c r="K134" s="296" t="s">
        <v>9</v>
      </c>
      <c r="L134" s="39"/>
      <c r="M134" s="113"/>
      <c r="N134" s="27"/>
      <c r="O134" s="27"/>
      <c r="P134" s="27"/>
      <c r="Q134" s="208"/>
      <c r="R134" s="27"/>
      <c r="S134" s="27"/>
      <c r="T134" s="27"/>
      <c r="U134" s="27"/>
      <c r="V134" s="27"/>
      <c r="W134" s="27"/>
      <c r="X134" s="29"/>
      <c r="Y134" s="29"/>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113"/>
      <c r="BC134" s="27"/>
      <c r="BD134" s="27"/>
      <c r="BE134" s="27"/>
      <c r="BF134" s="27"/>
      <c r="BG134" s="27"/>
      <c r="BH134" s="27"/>
      <c r="BI134" s="27"/>
      <c r="BJ134" s="27"/>
      <c r="BK134" s="27"/>
      <c r="BL134" s="27"/>
      <c r="BM134" s="27"/>
      <c r="BN134" s="27"/>
      <c r="BO134" s="27"/>
      <c r="BP134" s="87"/>
    </row>
    <row r="135" spans="1:68" hidden="1" x14ac:dyDescent="0.35">
      <c r="A135" s="209"/>
      <c r="B135" s="209"/>
      <c r="C135" s="210"/>
      <c r="D135" s="27"/>
      <c r="E135" s="27"/>
      <c r="F135" s="27"/>
      <c r="G135" s="27"/>
      <c r="H135" s="27" t="s">
        <v>6</v>
      </c>
      <c r="I135" s="92" t="e">
        <f ca="1">F70/O70</f>
        <v>#VALUE!</v>
      </c>
      <c r="J135" s="114" t="s">
        <v>158</v>
      </c>
      <c r="K135" s="30" t="s">
        <v>90</v>
      </c>
      <c r="L135" s="113"/>
      <c r="M135" s="41" t="e">
        <f ca="1">O70/N70</f>
        <v>#VALUE!</v>
      </c>
      <c r="N135" s="27"/>
      <c r="O135" s="27"/>
      <c r="P135" s="27"/>
      <c r="Q135" s="208"/>
      <c r="R135" s="27"/>
      <c r="S135" s="27"/>
      <c r="T135" s="27"/>
      <c r="U135" s="27"/>
      <c r="V135" s="27"/>
      <c r="W135" s="27"/>
      <c r="X135" s="29"/>
      <c r="Y135" s="29"/>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113"/>
      <c r="BC135" s="27"/>
      <c r="BD135" s="27"/>
      <c r="BE135" s="27"/>
      <c r="BF135" s="27"/>
      <c r="BG135" s="27"/>
      <c r="BH135" s="27"/>
      <c r="BI135" s="27"/>
      <c r="BJ135" s="27"/>
      <c r="BK135" s="27"/>
      <c r="BL135" s="27"/>
      <c r="BM135" s="27"/>
      <c r="BN135" s="27"/>
      <c r="BO135" s="27"/>
      <c r="BP135" s="87"/>
    </row>
    <row r="136" spans="1:68" hidden="1" x14ac:dyDescent="0.35">
      <c r="A136" s="209"/>
      <c r="B136" s="209"/>
      <c r="C136" s="210"/>
      <c r="D136" s="27"/>
      <c r="E136" s="27"/>
      <c r="F136" s="27"/>
      <c r="G136" s="27"/>
      <c r="H136" s="27"/>
      <c r="I136" s="27"/>
      <c r="J136" s="28"/>
      <c r="K136" s="28"/>
      <c r="L136" s="113"/>
      <c r="M136" s="113"/>
      <c r="N136" s="27"/>
      <c r="O136" s="27"/>
      <c r="P136" s="27"/>
      <c r="Q136" s="208"/>
      <c r="R136" s="27"/>
      <c r="S136" s="27"/>
      <c r="T136" s="27"/>
      <c r="U136" s="27"/>
      <c r="V136" s="27"/>
      <c r="W136" s="27"/>
      <c r="X136" s="29"/>
      <c r="Y136" s="29"/>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113"/>
      <c r="BC136" s="27"/>
      <c r="BD136" s="27"/>
      <c r="BE136" s="27"/>
      <c r="BF136" s="27"/>
      <c r="BG136" s="27"/>
      <c r="BH136" s="27"/>
      <c r="BI136" s="27"/>
      <c r="BJ136" s="27"/>
      <c r="BK136" s="27"/>
      <c r="BL136" s="27"/>
      <c r="BM136" s="27"/>
      <c r="BN136" s="27"/>
      <c r="BO136" s="27"/>
      <c r="BP136" s="87"/>
    </row>
    <row r="137" spans="1:68" ht="13.15" hidden="1" x14ac:dyDescent="0.4">
      <c r="A137" s="209"/>
      <c r="B137" s="209"/>
      <c r="C137" s="210"/>
      <c r="D137" s="27"/>
      <c r="E137" s="27"/>
      <c r="F137" s="27"/>
      <c r="G137" s="27"/>
      <c r="H137" s="90" t="s">
        <v>105</v>
      </c>
      <c r="I137" s="91"/>
      <c r="J137" s="70"/>
      <c r="K137" s="28"/>
      <c r="L137" s="113"/>
      <c r="M137" s="113"/>
      <c r="N137" s="90" t="s">
        <v>118</v>
      </c>
      <c r="O137" s="90"/>
      <c r="P137" s="38"/>
      <c r="Q137" s="208"/>
      <c r="R137" s="27"/>
      <c r="S137" s="27"/>
      <c r="T137" s="27"/>
      <c r="U137" s="27"/>
      <c r="V137" s="27"/>
      <c r="W137" s="27"/>
      <c r="X137" s="29"/>
      <c r="Y137" s="29"/>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113"/>
      <c r="BC137" s="27"/>
      <c r="BD137" s="27"/>
      <c r="BE137" s="27"/>
      <c r="BF137" s="27"/>
      <c r="BG137" s="27"/>
      <c r="BH137" s="27"/>
      <c r="BI137" s="27"/>
      <c r="BJ137" s="27"/>
      <c r="BK137" s="27"/>
      <c r="BL137" s="27"/>
      <c r="BM137" s="27"/>
      <c r="BN137" s="27"/>
      <c r="BO137" s="27"/>
      <c r="BP137" s="87"/>
    </row>
    <row r="138" spans="1:68" hidden="1" x14ac:dyDescent="0.35">
      <c r="A138" s="209"/>
      <c r="B138" s="209"/>
      <c r="C138" s="210"/>
      <c r="D138" s="27"/>
      <c r="E138" s="27"/>
      <c r="F138" s="27"/>
      <c r="G138" s="27"/>
      <c r="H138" s="110" t="s">
        <v>87</v>
      </c>
      <c r="I138" s="35">
        <f>IF(V73,ROUND(W70/V70,PrecisionTwo),0)</f>
        <v>4.5999999999999996</v>
      </c>
      <c r="J138" s="114" t="s">
        <v>159</v>
      </c>
      <c r="K138" s="28"/>
      <c r="L138" s="113"/>
      <c r="M138" s="113"/>
      <c r="N138" s="36" t="b">
        <f ca="1">AND(MIPDLClass1&gt;=I138)</f>
        <v>1</v>
      </c>
      <c r="O138" s="177" t="s">
        <v>219</v>
      </c>
      <c r="P138" s="27"/>
      <c r="Q138" s="208"/>
      <c r="R138" s="27"/>
      <c r="S138" s="27"/>
      <c r="T138" s="27"/>
      <c r="U138" s="27"/>
      <c r="V138" s="27"/>
      <c r="W138" s="27"/>
      <c r="X138" s="29"/>
      <c r="Y138" s="29"/>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113"/>
      <c r="BC138" s="27"/>
      <c r="BD138" s="27"/>
      <c r="BE138" s="27"/>
      <c r="BF138" s="27"/>
      <c r="BG138" s="27"/>
      <c r="BH138" s="27"/>
      <c r="BI138" s="27"/>
      <c r="BJ138" s="27"/>
      <c r="BK138" s="27"/>
      <c r="BL138" s="27"/>
      <c r="BM138" s="27"/>
      <c r="BN138" s="27"/>
      <c r="BO138" s="27"/>
      <c r="BP138" s="87"/>
    </row>
    <row r="139" spans="1:68" hidden="1" x14ac:dyDescent="0.35">
      <c r="A139" s="209"/>
      <c r="B139" s="209"/>
      <c r="C139" s="210"/>
      <c r="D139" s="27"/>
      <c r="E139" s="27"/>
      <c r="F139" s="27"/>
      <c r="G139" s="27"/>
      <c r="H139" s="27"/>
      <c r="I139" s="35"/>
      <c r="J139" s="114" t="s">
        <v>160</v>
      </c>
      <c r="K139" s="28"/>
      <c r="L139" s="113"/>
      <c r="M139" s="113"/>
      <c r="N139" s="27"/>
      <c r="O139" s="27"/>
      <c r="P139" s="27"/>
      <c r="Q139" s="208"/>
      <c r="R139" s="27"/>
      <c r="S139" s="27"/>
      <c r="T139" s="27"/>
      <c r="U139" s="27"/>
      <c r="V139" s="27"/>
      <c r="W139" s="27"/>
      <c r="X139" s="29"/>
      <c r="Y139" s="29"/>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113"/>
      <c r="BC139" s="27"/>
      <c r="BD139" s="27"/>
      <c r="BE139" s="27"/>
      <c r="BF139" s="27"/>
      <c r="BG139" s="27"/>
      <c r="BH139" s="27"/>
      <c r="BI139" s="27"/>
      <c r="BJ139" s="27"/>
      <c r="BK139" s="27"/>
      <c r="BL139" s="27"/>
      <c r="BM139" s="27"/>
      <c r="BN139" s="27"/>
      <c r="BO139" s="27"/>
      <c r="BP139" s="87"/>
    </row>
    <row r="140" spans="1:68" hidden="1" x14ac:dyDescent="0.35">
      <c r="A140" s="209"/>
      <c r="B140" s="209"/>
      <c r="C140" s="210"/>
      <c r="D140" s="27"/>
      <c r="E140" s="27"/>
      <c r="F140" s="27"/>
      <c r="G140" s="27"/>
      <c r="H140" s="27"/>
      <c r="I140" s="35"/>
      <c r="J140" s="113"/>
      <c r="K140" s="28"/>
      <c r="L140" s="113"/>
      <c r="M140" s="113"/>
      <c r="N140" s="27"/>
      <c r="O140" s="27"/>
      <c r="P140" s="27"/>
      <c r="Q140" s="208"/>
      <c r="R140" s="27"/>
      <c r="S140" s="27"/>
      <c r="T140" s="27"/>
      <c r="U140" s="27"/>
      <c r="V140" s="27"/>
      <c r="W140" s="27"/>
      <c r="X140" s="29"/>
      <c r="Y140" s="29"/>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113"/>
      <c r="BC140" s="27"/>
      <c r="BD140" s="27"/>
      <c r="BE140" s="27"/>
      <c r="BF140" s="27"/>
      <c r="BG140" s="27"/>
      <c r="BH140" s="27"/>
      <c r="BI140" s="27"/>
      <c r="BJ140" s="27"/>
      <c r="BK140" s="27"/>
      <c r="BL140" s="27"/>
      <c r="BM140" s="27"/>
      <c r="BN140" s="27"/>
      <c r="BO140" s="27"/>
      <c r="BP140" s="87"/>
    </row>
    <row r="141" spans="1:68" ht="13.15" hidden="1" x14ac:dyDescent="0.4">
      <c r="A141" s="209"/>
      <c r="B141" s="209"/>
      <c r="C141" s="210"/>
      <c r="D141" s="27"/>
      <c r="E141" s="27"/>
      <c r="F141" s="27"/>
      <c r="G141" s="27"/>
      <c r="H141" s="90" t="s">
        <v>106</v>
      </c>
      <c r="I141" s="35"/>
      <c r="J141" s="113"/>
      <c r="K141" s="28"/>
      <c r="L141" s="113"/>
      <c r="M141" s="113"/>
      <c r="N141" s="99" t="s">
        <v>119</v>
      </c>
      <c r="O141" s="27"/>
      <c r="P141" s="27"/>
      <c r="Q141" s="208"/>
      <c r="R141" s="27"/>
      <c r="S141" s="27"/>
      <c r="T141" s="27"/>
      <c r="U141" s="27"/>
      <c r="V141" s="27"/>
      <c r="W141" s="27"/>
      <c r="X141" s="29"/>
      <c r="Y141" s="29"/>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113"/>
      <c r="BC141" s="27"/>
      <c r="BD141" s="27"/>
      <c r="BE141" s="27"/>
      <c r="BF141" s="27"/>
      <c r="BG141" s="27"/>
      <c r="BH141" s="27"/>
      <c r="BI141" s="27"/>
      <c r="BJ141" s="27"/>
      <c r="BK141" s="27"/>
      <c r="BL141" s="27"/>
      <c r="BM141" s="27"/>
      <c r="BN141" s="27"/>
      <c r="BO141" s="27"/>
      <c r="BP141" s="87"/>
    </row>
    <row r="142" spans="1:68" hidden="1" x14ac:dyDescent="0.35">
      <c r="A142" s="209"/>
      <c r="B142" s="209"/>
      <c r="C142" s="210"/>
      <c r="D142" s="27"/>
      <c r="E142" s="27"/>
      <c r="F142" s="27"/>
      <c r="G142" s="27"/>
      <c r="H142" s="110" t="s">
        <v>87</v>
      </c>
      <c r="I142" s="35">
        <f>IF(AA73,ROUND(AB70/AA70,PrecisionTwo),0)</f>
        <v>3.8</v>
      </c>
      <c r="J142" s="114" t="s">
        <v>161</v>
      </c>
      <c r="K142" s="28"/>
      <c r="L142" s="113"/>
      <c r="M142" s="113"/>
      <c r="N142" s="27" t="b">
        <f ca="1">AND(I154&gt;=I142)</f>
        <v>1</v>
      </c>
      <c r="O142" s="177" t="s">
        <v>220</v>
      </c>
      <c r="P142" s="27"/>
      <c r="Q142" s="208"/>
      <c r="R142" s="27"/>
      <c r="S142" s="27"/>
      <c r="T142" s="27"/>
      <c r="U142" s="27"/>
      <c r="V142" s="27"/>
      <c r="W142" s="27"/>
      <c r="X142" s="29"/>
      <c r="Y142" s="29"/>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113"/>
      <c r="BC142" s="27"/>
      <c r="BD142" s="27"/>
      <c r="BE142" s="27"/>
      <c r="BF142" s="27"/>
      <c r="BG142" s="27"/>
      <c r="BH142" s="27"/>
      <c r="BI142" s="27"/>
      <c r="BJ142" s="27"/>
      <c r="BK142" s="27"/>
      <c r="BL142" s="27"/>
      <c r="BM142" s="27"/>
      <c r="BN142" s="27"/>
      <c r="BO142" s="27"/>
      <c r="BP142" s="87"/>
    </row>
    <row r="143" spans="1:68" hidden="1" x14ac:dyDescent="0.35">
      <c r="A143" s="209"/>
      <c r="B143" s="209"/>
      <c r="C143" s="210"/>
      <c r="D143" s="27"/>
      <c r="E143" s="27"/>
      <c r="F143" s="27"/>
      <c r="G143" s="27"/>
      <c r="H143" s="27"/>
      <c r="I143" s="35"/>
      <c r="J143" s="113"/>
      <c r="K143" s="28"/>
      <c r="L143" s="113"/>
      <c r="M143" s="113"/>
      <c r="N143" s="27"/>
      <c r="O143" s="27"/>
      <c r="P143" s="27"/>
      <c r="Q143" s="208"/>
      <c r="R143" s="27"/>
      <c r="S143" s="27"/>
      <c r="T143" s="27"/>
      <c r="U143" s="27"/>
      <c r="V143" s="27"/>
      <c r="W143" s="27"/>
      <c r="X143" s="29"/>
      <c r="Y143" s="29"/>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113"/>
      <c r="BC143" s="27"/>
      <c r="BD143" s="27"/>
      <c r="BE143" s="27"/>
      <c r="BF143" s="27"/>
      <c r="BG143" s="27"/>
      <c r="BH143" s="27"/>
      <c r="BI143" s="27"/>
      <c r="BJ143" s="27"/>
      <c r="BK143" s="27"/>
      <c r="BL143" s="27"/>
      <c r="BM143" s="27"/>
      <c r="BN143" s="27"/>
      <c r="BO143" s="27"/>
      <c r="BP143" s="87"/>
    </row>
    <row r="144" spans="1:68" hidden="1" x14ac:dyDescent="0.35">
      <c r="A144" s="209"/>
      <c r="B144" s="209"/>
      <c r="C144" s="210"/>
      <c r="D144" s="27"/>
      <c r="E144" s="27"/>
      <c r="F144" s="27"/>
      <c r="G144" s="27"/>
      <c r="H144" s="27"/>
      <c r="I144" s="35"/>
      <c r="J144" s="113"/>
      <c r="K144" s="28"/>
      <c r="L144" s="113"/>
      <c r="M144" s="113"/>
      <c r="N144" s="27"/>
      <c r="O144" s="27"/>
      <c r="P144" s="27"/>
      <c r="Q144" s="208"/>
      <c r="R144" s="27"/>
      <c r="S144" s="27"/>
      <c r="T144" s="27"/>
      <c r="U144" s="27"/>
      <c r="V144" s="27"/>
      <c r="W144" s="27"/>
      <c r="X144" s="29"/>
      <c r="Y144" s="29"/>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113"/>
      <c r="BC144" s="27"/>
      <c r="BD144" s="27"/>
      <c r="BE144" s="27"/>
      <c r="BF144" s="27"/>
      <c r="BG144" s="27"/>
      <c r="BH144" s="27"/>
      <c r="BI144" s="27"/>
      <c r="BJ144" s="27"/>
      <c r="BK144" s="27"/>
      <c r="BL144" s="27"/>
      <c r="BM144" s="27"/>
      <c r="BN144" s="27"/>
      <c r="BO144" s="27"/>
      <c r="BP144" s="87"/>
    </row>
    <row r="145" spans="1:68" ht="13.15" hidden="1" x14ac:dyDescent="0.4">
      <c r="A145" s="209"/>
      <c r="B145" s="209"/>
      <c r="C145" s="210"/>
      <c r="D145" s="27"/>
      <c r="E145" s="27"/>
      <c r="F145" s="27"/>
      <c r="G145" s="27"/>
      <c r="H145" s="90" t="s">
        <v>107</v>
      </c>
      <c r="I145" s="35"/>
      <c r="J145" s="113"/>
      <c r="K145" s="28"/>
      <c r="L145" s="113"/>
      <c r="M145" s="113"/>
      <c r="N145" s="99" t="s">
        <v>120</v>
      </c>
      <c r="O145" s="27"/>
      <c r="P145" s="27"/>
      <c r="Q145" s="208"/>
      <c r="R145" s="27"/>
      <c r="S145" s="27"/>
      <c r="T145" s="27"/>
      <c r="U145" s="27"/>
      <c r="V145" s="27"/>
      <c r="W145" s="27"/>
      <c r="X145" s="29"/>
      <c r="Y145" s="29"/>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113"/>
      <c r="BC145" s="27"/>
      <c r="BD145" s="27"/>
      <c r="BE145" s="27"/>
      <c r="BF145" s="27"/>
      <c r="BG145" s="27"/>
      <c r="BH145" s="27"/>
      <c r="BI145" s="27"/>
      <c r="BJ145" s="27"/>
      <c r="BK145" s="27"/>
      <c r="BL145" s="27"/>
      <c r="BM145" s="27"/>
      <c r="BN145" s="27"/>
      <c r="BO145" s="27"/>
      <c r="BP145" s="87"/>
    </row>
    <row r="146" spans="1:68" hidden="1" x14ac:dyDescent="0.35">
      <c r="A146" s="209"/>
      <c r="B146" s="209"/>
      <c r="C146" s="210"/>
      <c r="D146" s="27"/>
      <c r="E146" s="27"/>
      <c r="F146" s="27"/>
      <c r="G146" s="27"/>
      <c r="H146" s="110" t="s">
        <v>87</v>
      </c>
      <c r="I146" s="35">
        <f>IF(AF73,ROUND(AG70/AF70,PrecisionTwo),0)</f>
        <v>10</v>
      </c>
      <c r="J146" s="114" t="s">
        <v>161</v>
      </c>
      <c r="K146" s="28"/>
      <c r="L146" s="113"/>
      <c r="M146" s="113"/>
      <c r="N146" s="27" t="b">
        <f ca="1">AND(I158&gt;=I146)</f>
        <v>1</v>
      </c>
      <c r="O146" s="177" t="s">
        <v>221</v>
      </c>
      <c r="P146" s="27"/>
      <c r="Q146" s="208"/>
      <c r="R146" s="27"/>
      <c r="S146" s="27"/>
      <c r="T146" s="27"/>
      <c r="U146" s="27"/>
      <c r="V146" s="27"/>
      <c r="W146" s="27"/>
      <c r="X146" s="29"/>
      <c r="Y146" s="29"/>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113"/>
      <c r="BC146" s="27"/>
      <c r="BD146" s="27"/>
      <c r="BE146" s="27"/>
      <c r="BF146" s="27"/>
      <c r="BG146" s="27"/>
      <c r="BH146" s="27"/>
      <c r="BI146" s="27"/>
      <c r="BJ146" s="27"/>
      <c r="BK146" s="27"/>
      <c r="BL146" s="27"/>
      <c r="BM146" s="27"/>
      <c r="BN146" s="27"/>
      <c r="BO146" s="27"/>
      <c r="BP146" s="87"/>
    </row>
    <row r="147" spans="1:68" hidden="1" x14ac:dyDescent="0.35">
      <c r="A147" s="209"/>
      <c r="B147" s="209"/>
      <c r="C147" s="210"/>
      <c r="D147" s="27"/>
      <c r="E147" s="27"/>
      <c r="F147" s="27"/>
      <c r="G147" s="27"/>
      <c r="H147" s="27"/>
      <c r="I147" s="35"/>
      <c r="J147" s="28"/>
      <c r="K147" s="28"/>
      <c r="L147" s="113"/>
      <c r="M147" s="113"/>
      <c r="N147" s="27"/>
      <c r="O147" s="27"/>
      <c r="P147" s="27"/>
      <c r="Q147" s="208"/>
      <c r="R147" s="27"/>
      <c r="S147" s="27"/>
      <c r="T147" s="27"/>
      <c r="U147" s="27"/>
      <c r="V147" s="27"/>
      <c r="W147" s="27"/>
      <c r="X147" s="29"/>
      <c r="Y147" s="29"/>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113"/>
      <c r="BC147" s="27"/>
      <c r="BD147" s="27"/>
      <c r="BE147" s="27"/>
      <c r="BF147" s="27"/>
      <c r="BG147" s="27"/>
      <c r="BH147" s="27"/>
      <c r="BI147" s="27"/>
      <c r="BJ147" s="27"/>
      <c r="BK147" s="27"/>
      <c r="BL147" s="27"/>
      <c r="BM147" s="27"/>
      <c r="BN147" s="27"/>
      <c r="BO147" s="27"/>
      <c r="BP147" s="87"/>
    </row>
    <row r="148" spans="1:68" ht="13.15" hidden="1" x14ac:dyDescent="0.4">
      <c r="A148" s="209"/>
      <c r="B148" s="209"/>
      <c r="C148" s="210"/>
      <c r="D148" s="27"/>
      <c r="E148" s="27"/>
      <c r="F148" s="27"/>
      <c r="G148" s="27"/>
      <c r="H148" s="27"/>
      <c r="I148" s="27"/>
      <c r="J148" s="28"/>
      <c r="K148" s="28"/>
      <c r="L148" s="113"/>
      <c r="M148" s="113"/>
      <c r="N148" s="100"/>
      <c r="O148" s="100"/>
      <c r="P148" s="38"/>
      <c r="Q148" s="208"/>
      <c r="R148" s="27"/>
      <c r="S148" s="27"/>
      <c r="T148" s="27"/>
      <c r="U148" s="27"/>
      <c r="V148" s="27"/>
      <c r="W148" s="27"/>
      <c r="X148" s="29"/>
      <c r="Y148" s="29"/>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113"/>
      <c r="BC148" s="27"/>
      <c r="BD148" s="27"/>
      <c r="BE148" s="27"/>
      <c r="BF148" s="27"/>
      <c r="BG148" s="27"/>
      <c r="BH148" s="27"/>
      <c r="BI148" s="27"/>
      <c r="BJ148" s="27"/>
      <c r="BK148" s="27"/>
      <c r="BL148" s="27"/>
      <c r="BM148" s="27"/>
      <c r="BN148" s="27"/>
      <c r="BO148" s="27"/>
      <c r="BP148" s="87"/>
    </row>
    <row r="149" spans="1:68" ht="13.15" hidden="1" x14ac:dyDescent="0.4">
      <c r="A149" s="209"/>
      <c r="B149" s="209"/>
      <c r="C149" s="210"/>
      <c r="D149" s="27"/>
      <c r="E149" s="27"/>
      <c r="F149" s="27"/>
      <c r="G149" s="27"/>
      <c r="H149" s="90" t="s">
        <v>108</v>
      </c>
      <c r="I149" s="115"/>
      <c r="J149" s="70"/>
      <c r="K149" s="70"/>
      <c r="L149" s="264"/>
      <c r="M149" s="264"/>
      <c r="N149" s="90" t="s">
        <v>121</v>
      </c>
      <c r="O149" s="59"/>
      <c r="P149" s="27"/>
      <c r="Q149" s="208"/>
      <c r="R149" s="27"/>
      <c r="S149" s="27"/>
      <c r="T149" s="27"/>
      <c r="U149" s="27"/>
      <c r="V149" s="27"/>
      <c r="W149" s="27"/>
      <c r="X149" s="29"/>
      <c r="Y149" s="29"/>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113"/>
      <c r="BC149" s="27"/>
      <c r="BD149" s="27"/>
      <c r="BE149" s="27"/>
      <c r="BF149" s="27"/>
      <c r="BG149" s="27"/>
      <c r="BH149" s="27"/>
      <c r="BI149" s="27"/>
      <c r="BJ149" s="27"/>
      <c r="BK149" s="27"/>
      <c r="BL149" s="27"/>
      <c r="BM149" s="27"/>
      <c r="BN149" s="27"/>
      <c r="BO149" s="27"/>
      <c r="BP149" s="87"/>
    </row>
    <row r="150" spans="1:68" hidden="1" x14ac:dyDescent="0.35">
      <c r="A150" s="209"/>
      <c r="B150" s="209"/>
      <c r="C150" s="210"/>
      <c r="D150" s="27"/>
      <c r="E150" s="27"/>
      <c r="F150" s="27"/>
      <c r="G150" s="27"/>
      <c r="H150" s="110" t="s">
        <v>87</v>
      </c>
      <c r="I150" s="35" t="str">
        <f ca="1">O103</f>
        <v/>
      </c>
      <c r="J150" s="114" t="s">
        <v>163</v>
      </c>
      <c r="K150" s="28"/>
      <c r="L150" s="113"/>
      <c r="M150" s="113"/>
      <c r="N150" s="27" t="b">
        <f ca="1">AND(I138&gt;MIPDLClass1)</f>
        <v>0</v>
      </c>
      <c r="O150" s="177" t="s">
        <v>222</v>
      </c>
      <c r="P150" s="27"/>
      <c r="Q150" s="208"/>
      <c r="R150" s="27"/>
      <c r="S150" s="27"/>
      <c r="T150" s="27"/>
      <c r="U150" s="27"/>
      <c r="V150" s="27"/>
      <c r="W150" s="27"/>
      <c r="X150" s="29"/>
      <c r="Y150" s="29"/>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113"/>
      <c r="BC150" s="27"/>
      <c r="BD150" s="27"/>
      <c r="BE150" s="27"/>
      <c r="BF150" s="27"/>
      <c r="BG150" s="27"/>
      <c r="BH150" s="27"/>
      <c r="BI150" s="27"/>
      <c r="BJ150" s="27"/>
      <c r="BK150" s="27"/>
      <c r="BL150" s="27"/>
      <c r="BM150" s="27"/>
      <c r="BN150" s="27"/>
      <c r="BO150" s="27"/>
      <c r="BP150" s="87"/>
    </row>
    <row r="151" spans="1:68" hidden="1" x14ac:dyDescent="0.35">
      <c r="A151" s="209"/>
      <c r="B151" s="209"/>
      <c r="C151" s="210"/>
      <c r="D151" s="27"/>
      <c r="E151" s="27"/>
      <c r="F151" s="27"/>
      <c r="G151" s="27"/>
      <c r="H151" s="110" t="s">
        <v>6</v>
      </c>
      <c r="I151" s="35">
        <f>SUM(Z28:Z67)</f>
        <v>0</v>
      </c>
      <c r="J151" s="114" t="s">
        <v>162</v>
      </c>
      <c r="K151" s="28"/>
      <c r="L151" s="113"/>
      <c r="M151" s="113"/>
      <c r="N151" s="27"/>
      <c r="O151" s="27"/>
      <c r="P151" s="27"/>
      <c r="Q151" s="208"/>
      <c r="R151" s="27"/>
      <c r="S151" s="27"/>
      <c r="T151" s="27"/>
      <c r="U151" s="27"/>
      <c r="V151" s="27"/>
      <c r="W151" s="27"/>
      <c r="X151" s="29"/>
      <c r="Y151" s="29"/>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113"/>
      <c r="BC151" s="27"/>
      <c r="BD151" s="27"/>
      <c r="BE151" s="27"/>
      <c r="BF151" s="27"/>
      <c r="BG151" s="27"/>
      <c r="BH151" s="27"/>
      <c r="BI151" s="27"/>
      <c r="BJ151" s="27"/>
      <c r="BK151" s="27"/>
      <c r="BL151" s="27"/>
      <c r="BM151" s="27"/>
      <c r="BN151" s="27"/>
      <c r="BO151" s="27"/>
      <c r="BP151" s="87"/>
    </row>
    <row r="152" spans="1:68" hidden="1" x14ac:dyDescent="0.35">
      <c r="A152" s="209"/>
      <c r="B152" s="209"/>
      <c r="C152" s="210"/>
      <c r="D152" s="27"/>
      <c r="E152" s="27"/>
      <c r="F152" s="27"/>
      <c r="G152" s="27"/>
      <c r="H152" s="27"/>
      <c r="I152" s="35"/>
      <c r="J152" s="113"/>
      <c r="K152" s="28"/>
      <c r="L152" s="113"/>
      <c r="M152" s="113"/>
      <c r="N152" s="27"/>
      <c r="O152" s="27"/>
      <c r="P152" s="27"/>
      <c r="Q152" s="208"/>
      <c r="R152" s="27"/>
      <c r="S152" s="27"/>
      <c r="T152" s="27"/>
      <c r="U152" s="27"/>
      <c r="V152" s="27"/>
      <c r="W152" s="27"/>
      <c r="X152" s="29"/>
      <c r="Y152" s="29"/>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113"/>
      <c r="BC152" s="27"/>
      <c r="BD152" s="27"/>
      <c r="BE152" s="27"/>
      <c r="BF152" s="27"/>
      <c r="BG152" s="27"/>
      <c r="BH152" s="27"/>
      <c r="BI152" s="27"/>
      <c r="BJ152" s="27"/>
      <c r="BK152" s="27"/>
      <c r="BL152" s="27"/>
      <c r="BM152" s="27"/>
      <c r="BN152" s="27"/>
      <c r="BO152" s="27"/>
      <c r="BP152" s="87"/>
    </row>
    <row r="153" spans="1:68" ht="13.15" hidden="1" x14ac:dyDescent="0.4">
      <c r="A153" s="209"/>
      <c r="B153" s="209"/>
      <c r="C153" s="210"/>
      <c r="D153" s="27"/>
      <c r="E153" s="27"/>
      <c r="F153" s="27"/>
      <c r="G153" s="27"/>
      <c r="H153" s="90" t="s">
        <v>109</v>
      </c>
      <c r="I153" s="35"/>
      <c r="J153" s="113"/>
      <c r="K153" s="28"/>
      <c r="L153" s="113"/>
      <c r="M153" s="113"/>
      <c r="N153" s="90" t="s">
        <v>122</v>
      </c>
      <c r="O153" s="27"/>
      <c r="P153" s="27"/>
      <c r="Q153" s="208"/>
      <c r="R153" s="27"/>
      <c r="S153" s="27"/>
      <c r="T153" s="27"/>
      <c r="U153" s="27"/>
      <c r="V153" s="27"/>
      <c r="W153" s="27"/>
      <c r="X153" s="29"/>
      <c r="Y153" s="29"/>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113"/>
      <c r="BC153" s="27"/>
      <c r="BD153" s="27"/>
      <c r="BE153" s="27"/>
      <c r="BF153" s="27"/>
      <c r="BG153" s="27"/>
      <c r="BH153" s="27"/>
      <c r="BI153" s="27"/>
      <c r="BJ153" s="27"/>
      <c r="BK153" s="27"/>
      <c r="BL153" s="27"/>
      <c r="BM153" s="27"/>
      <c r="BN153" s="27"/>
      <c r="BO153" s="27"/>
      <c r="BP153" s="87"/>
    </row>
    <row r="154" spans="1:68" hidden="1" x14ac:dyDescent="0.35">
      <c r="A154" s="209"/>
      <c r="B154" s="209"/>
      <c r="C154" s="210"/>
      <c r="D154" s="27"/>
      <c r="E154" s="27"/>
      <c r="F154" s="27"/>
      <c r="G154" s="27"/>
      <c r="H154" s="110" t="s">
        <v>87</v>
      </c>
      <c r="I154" s="35" t="str">
        <f ca="1">O105</f>
        <v/>
      </c>
      <c r="J154" s="114" t="s">
        <v>163</v>
      </c>
      <c r="K154" s="28"/>
      <c r="L154" s="113"/>
      <c r="M154" s="113"/>
      <c r="N154" s="27" t="b">
        <f ca="1">AND(I142&gt;I154)</f>
        <v>0</v>
      </c>
      <c r="O154" s="177" t="s">
        <v>223</v>
      </c>
      <c r="P154" s="27"/>
      <c r="Q154" s="208"/>
      <c r="R154" s="27"/>
      <c r="S154" s="27"/>
      <c r="T154" s="27"/>
      <c r="U154" s="27"/>
      <c r="V154" s="27"/>
      <c r="W154" s="27"/>
      <c r="X154" s="29"/>
      <c r="Y154" s="29"/>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113"/>
      <c r="BC154" s="27"/>
      <c r="BD154" s="27"/>
      <c r="BE154" s="27"/>
      <c r="BF154" s="27"/>
      <c r="BG154" s="27"/>
      <c r="BH154" s="27"/>
      <c r="BI154" s="27"/>
      <c r="BJ154" s="27"/>
      <c r="BK154" s="27"/>
      <c r="BL154" s="27"/>
      <c r="BM154" s="27"/>
      <c r="BN154" s="27"/>
      <c r="BO154" s="27"/>
      <c r="BP154" s="87"/>
    </row>
    <row r="155" spans="1:68" hidden="1" x14ac:dyDescent="0.35">
      <c r="A155" s="209"/>
      <c r="B155" s="209"/>
      <c r="C155" s="210"/>
      <c r="D155" s="27"/>
      <c r="E155" s="27"/>
      <c r="F155" s="27"/>
      <c r="G155" s="27"/>
      <c r="H155" s="110" t="s">
        <v>6</v>
      </c>
      <c r="I155" s="35">
        <f>SUM(AE28:AE67)</f>
        <v>0</v>
      </c>
      <c r="J155" s="114" t="s">
        <v>162</v>
      </c>
      <c r="K155" s="28"/>
      <c r="L155" s="113"/>
      <c r="M155" s="113"/>
      <c r="N155" s="27"/>
      <c r="O155" s="27"/>
      <c r="P155" s="27"/>
      <c r="Q155" s="208"/>
      <c r="R155" s="27"/>
      <c r="S155" s="27"/>
      <c r="T155" s="27"/>
      <c r="U155" s="27"/>
      <c r="V155" s="27"/>
      <c r="W155" s="27"/>
      <c r="X155" s="29"/>
      <c r="Y155" s="29"/>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113"/>
      <c r="BC155" s="27"/>
      <c r="BD155" s="27"/>
      <c r="BE155" s="27"/>
      <c r="BF155" s="27"/>
      <c r="BG155" s="27"/>
      <c r="BH155" s="27"/>
      <c r="BI155" s="27"/>
      <c r="BJ155" s="27"/>
      <c r="BK155" s="27"/>
      <c r="BL155" s="27"/>
      <c r="BM155" s="27"/>
      <c r="BN155" s="27"/>
      <c r="BO155" s="27"/>
      <c r="BP155" s="87"/>
    </row>
    <row r="156" spans="1:68" hidden="1" x14ac:dyDescent="0.35">
      <c r="A156" s="209"/>
      <c r="B156" s="209"/>
      <c r="C156" s="210"/>
      <c r="D156" s="27"/>
      <c r="E156" s="27"/>
      <c r="F156" s="27"/>
      <c r="G156" s="27"/>
      <c r="H156" s="27"/>
      <c r="I156" s="35"/>
      <c r="J156" s="113"/>
      <c r="K156" s="28"/>
      <c r="L156" s="113"/>
      <c r="M156" s="113"/>
      <c r="N156" s="27"/>
      <c r="O156" s="27"/>
      <c r="P156" s="27"/>
      <c r="Q156" s="208"/>
      <c r="R156" s="27"/>
      <c r="S156" s="27"/>
      <c r="T156" s="27"/>
      <c r="U156" s="27"/>
      <c r="V156" s="27"/>
      <c r="W156" s="27"/>
      <c r="X156" s="29"/>
      <c r="Y156" s="29"/>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113"/>
      <c r="BC156" s="27"/>
      <c r="BD156" s="27"/>
      <c r="BE156" s="27"/>
      <c r="BF156" s="27"/>
      <c r="BG156" s="27"/>
      <c r="BH156" s="27"/>
      <c r="BI156" s="27"/>
      <c r="BJ156" s="27"/>
      <c r="BK156" s="27"/>
      <c r="BL156" s="27"/>
      <c r="BM156" s="27"/>
      <c r="BN156" s="27"/>
      <c r="BO156" s="27"/>
      <c r="BP156" s="87"/>
    </row>
    <row r="157" spans="1:68" ht="13.15" hidden="1" x14ac:dyDescent="0.4">
      <c r="A157" s="209"/>
      <c r="B157" s="209"/>
      <c r="C157" s="210"/>
      <c r="D157" s="27"/>
      <c r="E157" s="27"/>
      <c r="F157" s="27"/>
      <c r="G157" s="27"/>
      <c r="H157" s="90" t="s">
        <v>110</v>
      </c>
      <c r="I157" s="35"/>
      <c r="J157" s="113"/>
      <c r="K157" s="28"/>
      <c r="L157" s="113"/>
      <c r="M157" s="113"/>
      <c r="N157" s="90" t="s">
        <v>123</v>
      </c>
      <c r="O157" s="27"/>
      <c r="P157" s="27"/>
      <c r="Q157" s="208"/>
      <c r="R157" s="27"/>
      <c r="S157" s="27"/>
      <c r="T157" s="27"/>
      <c r="U157" s="27"/>
      <c r="V157" s="27"/>
      <c r="W157" s="27"/>
      <c r="X157" s="29"/>
      <c r="Y157" s="29"/>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113"/>
      <c r="BC157" s="27"/>
      <c r="BD157" s="27"/>
      <c r="BE157" s="27"/>
      <c r="BF157" s="27"/>
      <c r="BG157" s="27"/>
      <c r="BH157" s="27"/>
      <c r="BI157" s="27"/>
      <c r="BJ157" s="27"/>
      <c r="BK157" s="27"/>
      <c r="BL157" s="27"/>
      <c r="BM157" s="27"/>
      <c r="BN157" s="27"/>
      <c r="BO157" s="27"/>
      <c r="BP157" s="87"/>
    </row>
    <row r="158" spans="1:68" hidden="1" x14ac:dyDescent="0.35">
      <c r="A158" s="209"/>
      <c r="B158" s="209"/>
      <c r="C158" s="210"/>
      <c r="D158" s="27"/>
      <c r="E158" s="27"/>
      <c r="F158" s="27"/>
      <c r="G158" s="27"/>
      <c r="H158" s="110" t="s">
        <v>87</v>
      </c>
      <c r="I158" s="35" t="str">
        <f ca="1">O106</f>
        <v/>
      </c>
      <c r="J158" s="114" t="s">
        <v>163</v>
      </c>
      <c r="K158" s="28"/>
      <c r="L158" s="113"/>
      <c r="M158" s="113"/>
      <c r="N158" s="27" t="b">
        <f ca="1">AND(I146&gt;I158)</f>
        <v>0</v>
      </c>
      <c r="O158" s="177" t="s">
        <v>224</v>
      </c>
      <c r="P158" s="27"/>
      <c r="Q158" s="208"/>
      <c r="R158" s="27"/>
      <c r="S158" s="27"/>
      <c r="T158" s="27"/>
      <c r="U158" s="27"/>
      <c r="V158" s="27"/>
      <c r="W158" s="27"/>
      <c r="X158" s="29"/>
      <c r="Y158" s="29"/>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113"/>
      <c r="BC158" s="27"/>
      <c r="BD158" s="27"/>
      <c r="BE158" s="27"/>
      <c r="BF158" s="27"/>
      <c r="BG158" s="27"/>
      <c r="BH158" s="27"/>
      <c r="BI158" s="27"/>
      <c r="BJ158" s="27"/>
      <c r="BK158" s="27"/>
      <c r="BL158" s="27"/>
      <c r="BM158" s="27"/>
      <c r="BN158" s="27"/>
      <c r="BO158" s="27"/>
      <c r="BP158" s="87"/>
    </row>
    <row r="159" spans="1:68" hidden="1" x14ac:dyDescent="0.35">
      <c r="A159" s="209"/>
      <c r="B159" s="209"/>
      <c r="C159" s="210"/>
      <c r="D159" s="27"/>
      <c r="E159" s="27"/>
      <c r="F159" s="27"/>
      <c r="G159" s="27"/>
      <c r="H159" s="110" t="s">
        <v>6</v>
      </c>
      <c r="I159" s="35">
        <f>SUM(AJ28:AJ67)</f>
        <v>0</v>
      </c>
      <c r="J159" s="114" t="s">
        <v>162</v>
      </c>
      <c r="K159" s="28"/>
      <c r="L159" s="113"/>
      <c r="M159" s="113"/>
      <c r="N159" s="27"/>
      <c r="O159" s="27"/>
      <c r="P159" s="27"/>
      <c r="Q159" s="208"/>
      <c r="R159" s="27"/>
      <c r="S159" s="27"/>
      <c r="T159" s="27"/>
      <c r="U159" s="27"/>
      <c r="V159" s="27"/>
      <c r="W159" s="27"/>
      <c r="X159" s="29"/>
      <c r="Y159" s="29"/>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113"/>
      <c r="BC159" s="27"/>
      <c r="BD159" s="27"/>
      <c r="BE159" s="27"/>
      <c r="BF159" s="27"/>
      <c r="BG159" s="27"/>
      <c r="BH159" s="27"/>
      <c r="BI159" s="27"/>
      <c r="BJ159" s="27"/>
      <c r="BK159" s="27"/>
      <c r="BL159" s="27"/>
      <c r="BM159" s="27"/>
      <c r="BN159" s="27"/>
      <c r="BO159" s="27"/>
      <c r="BP159" s="87"/>
    </row>
    <row r="160" spans="1:68" hidden="1" x14ac:dyDescent="0.35">
      <c r="A160" s="209"/>
      <c r="B160" s="209"/>
      <c r="C160" s="210"/>
      <c r="D160" s="27"/>
      <c r="E160" s="27"/>
      <c r="F160" s="27"/>
      <c r="G160" s="27"/>
      <c r="H160" s="27"/>
      <c r="I160" s="40"/>
      <c r="J160" s="28"/>
      <c r="K160" s="28"/>
      <c r="L160" s="113"/>
      <c r="M160" s="113"/>
      <c r="N160" s="27"/>
      <c r="O160" s="27"/>
      <c r="P160" s="27"/>
      <c r="Q160" s="208"/>
      <c r="R160" s="27"/>
      <c r="S160" s="27"/>
      <c r="T160" s="27"/>
      <c r="U160" s="27"/>
      <c r="V160" s="27"/>
      <c r="W160" s="27"/>
      <c r="X160" s="29"/>
      <c r="Y160" s="29"/>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113"/>
      <c r="BC160" s="27"/>
      <c r="BD160" s="27"/>
      <c r="BE160" s="27"/>
      <c r="BF160" s="27"/>
      <c r="BG160" s="27"/>
      <c r="BH160" s="27"/>
      <c r="BI160" s="27"/>
      <c r="BJ160" s="27"/>
      <c r="BK160" s="27"/>
      <c r="BL160" s="27"/>
      <c r="BM160" s="27"/>
      <c r="BN160" s="27"/>
      <c r="BO160" s="27"/>
      <c r="BP160" s="87"/>
    </row>
    <row r="161" spans="1:104" hidden="1" x14ac:dyDescent="0.35">
      <c r="A161" s="209"/>
      <c r="B161" s="209"/>
      <c r="C161" s="210"/>
      <c r="D161" s="27"/>
      <c r="E161" s="27"/>
      <c r="F161" s="27"/>
      <c r="G161" s="27"/>
      <c r="H161" s="27"/>
      <c r="I161" s="40"/>
      <c r="J161" s="28"/>
      <c r="K161" s="28"/>
      <c r="L161" s="113"/>
      <c r="M161" s="113"/>
      <c r="N161" s="27"/>
      <c r="O161" s="27"/>
      <c r="P161" s="27"/>
      <c r="Q161" s="208"/>
      <c r="R161" s="27"/>
      <c r="S161" s="27"/>
      <c r="T161" s="27"/>
      <c r="U161" s="27"/>
      <c r="V161" s="27"/>
      <c r="W161" s="27"/>
      <c r="X161" s="29"/>
      <c r="Y161" s="29"/>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113"/>
      <c r="BC161" s="27"/>
      <c r="BD161" s="27"/>
      <c r="BE161" s="27"/>
      <c r="BF161" s="27"/>
      <c r="BG161" s="27"/>
      <c r="BH161" s="27"/>
      <c r="BI161" s="27"/>
      <c r="BJ161" s="27"/>
      <c r="BK161" s="27"/>
      <c r="BL161" s="27"/>
      <c r="BM161" s="27"/>
      <c r="BN161" s="27"/>
      <c r="BO161" s="27"/>
      <c r="BP161" s="87"/>
    </row>
    <row r="162" spans="1:104" hidden="1" x14ac:dyDescent="0.35">
      <c r="A162" s="209"/>
      <c r="B162" s="209"/>
      <c r="C162" s="210"/>
      <c r="D162" s="27"/>
      <c r="E162" s="27"/>
      <c r="F162" s="27"/>
      <c r="G162" s="27"/>
      <c r="H162" s="27"/>
      <c r="I162" s="57"/>
      <c r="J162" s="28"/>
      <c r="K162" s="28"/>
      <c r="L162" s="113"/>
      <c r="M162" s="113"/>
      <c r="N162" s="27"/>
      <c r="O162" s="27"/>
      <c r="P162" s="27"/>
      <c r="Q162" s="208"/>
      <c r="R162" s="27"/>
      <c r="S162" s="27"/>
      <c r="T162" s="27"/>
      <c r="U162" s="27"/>
      <c r="V162" s="27"/>
      <c r="W162" s="27"/>
      <c r="X162" s="29"/>
      <c r="Y162" s="29"/>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113"/>
      <c r="BC162" s="27"/>
      <c r="BD162" s="27"/>
      <c r="BE162" s="27"/>
      <c r="BF162" s="27"/>
      <c r="BG162" s="27"/>
      <c r="BH162" s="27"/>
      <c r="BI162" s="27"/>
      <c r="BJ162" s="27"/>
      <c r="BK162" s="27"/>
      <c r="BL162" s="27"/>
      <c r="BM162" s="27"/>
      <c r="BN162" s="27"/>
      <c r="BO162" s="27"/>
      <c r="BP162" s="87"/>
    </row>
    <row r="163" spans="1:104" hidden="1" x14ac:dyDescent="0.35">
      <c r="A163" s="209"/>
      <c r="B163" s="209"/>
      <c r="C163" s="210"/>
      <c r="D163" s="27"/>
      <c r="E163" s="27"/>
      <c r="F163" s="27"/>
      <c r="G163" s="27"/>
      <c r="H163" s="27"/>
      <c r="I163" s="57"/>
      <c r="J163" s="28"/>
      <c r="K163" s="28"/>
      <c r="L163" s="113"/>
      <c r="M163" s="113"/>
      <c r="N163" s="27"/>
      <c r="O163" s="27"/>
      <c r="P163" s="27"/>
      <c r="Q163" s="208"/>
      <c r="R163" s="27"/>
      <c r="S163" s="27"/>
      <c r="T163" s="27"/>
      <c r="U163" s="27"/>
      <c r="V163" s="27"/>
      <c r="W163" s="27"/>
      <c r="X163" s="29"/>
      <c r="Y163" s="29"/>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113"/>
      <c r="BC163" s="27"/>
      <c r="BD163" s="27"/>
      <c r="BE163" s="27"/>
      <c r="BF163" s="27"/>
      <c r="BG163" s="27"/>
      <c r="BH163" s="27"/>
      <c r="BI163" s="27"/>
      <c r="BJ163" s="27"/>
      <c r="BK163" s="27"/>
      <c r="BL163" s="27"/>
      <c r="BM163" s="27"/>
      <c r="BN163" s="27"/>
      <c r="BO163" s="27"/>
      <c r="BP163" s="87"/>
    </row>
    <row r="164" spans="1:104" hidden="1" x14ac:dyDescent="0.35">
      <c r="B164" s="275"/>
      <c r="C164" s="287"/>
      <c r="D164" s="275"/>
      <c r="E164" s="275"/>
      <c r="F164" s="275"/>
      <c r="G164" s="275"/>
      <c r="H164" s="275"/>
      <c r="I164" s="275"/>
      <c r="J164" s="288"/>
      <c r="K164" s="288"/>
      <c r="L164" s="288"/>
      <c r="M164" s="288"/>
      <c r="N164" s="275"/>
      <c r="O164" s="275"/>
      <c r="P164" s="275"/>
      <c r="Q164" s="284"/>
      <c r="CC164" s="276"/>
      <c r="CD164" s="276"/>
      <c r="CE164" s="276"/>
      <c r="CF164" s="276"/>
      <c r="CG164" s="276"/>
      <c r="CH164" s="276"/>
      <c r="CI164" s="276"/>
      <c r="CJ164" s="276"/>
      <c r="CK164" s="276"/>
      <c r="CL164" s="276"/>
      <c r="CM164" s="276"/>
      <c r="CN164" s="276"/>
      <c r="CO164" s="276"/>
      <c r="CP164" s="276"/>
      <c r="CQ164" s="276"/>
      <c r="CR164" s="276"/>
      <c r="CS164" s="276"/>
      <c r="CT164" s="276"/>
      <c r="CU164" s="276"/>
      <c r="CV164" s="276"/>
      <c r="CW164" s="276"/>
      <c r="CX164" s="276"/>
      <c r="CY164" s="276"/>
      <c r="CZ164" s="276"/>
    </row>
    <row r="165" spans="1:104" x14ac:dyDescent="0.35">
      <c r="A165" s="27"/>
      <c r="B165" s="276"/>
      <c r="C165" s="277"/>
      <c r="D165" s="276"/>
      <c r="E165" s="276"/>
      <c r="F165" s="276"/>
      <c r="G165" s="276"/>
      <c r="H165" s="276"/>
      <c r="I165" s="276"/>
      <c r="J165" s="278"/>
      <c r="K165" s="278"/>
      <c r="L165" s="278"/>
      <c r="M165" s="278"/>
      <c r="N165" s="276"/>
      <c r="O165" s="276"/>
      <c r="P165" s="276"/>
      <c r="Q165" s="284"/>
      <c r="R165" s="27"/>
      <c r="S165" s="27"/>
      <c r="T165" s="27"/>
      <c r="U165" s="27"/>
      <c r="V165" s="27"/>
      <c r="W165" s="27"/>
      <c r="X165" s="29"/>
      <c r="Y165" s="29"/>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113"/>
      <c r="BC165" s="27"/>
      <c r="BD165" s="27"/>
      <c r="BE165" s="27"/>
      <c r="BF165" s="27"/>
      <c r="BG165" s="27"/>
      <c r="BH165" s="27"/>
      <c r="BI165" s="27"/>
      <c r="BJ165" s="27"/>
      <c r="BK165" s="27"/>
      <c r="BL165" s="27"/>
      <c r="BM165" s="27"/>
      <c r="BN165" s="27"/>
      <c r="BO165" s="27"/>
      <c r="BP165" s="87"/>
      <c r="BQ165" s="27"/>
      <c r="BR165" s="27"/>
      <c r="BS165" s="27"/>
      <c r="BT165" s="27"/>
      <c r="BU165" s="27"/>
      <c r="BV165" s="27"/>
      <c r="BW165" s="27"/>
      <c r="BX165" s="276"/>
      <c r="BY165" s="284"/>
      <c r="BZ165" s="276"/>
      <c r="CA165" s="276"/>
      <c r="CB165" s="276"/>
      <c r="CC165" s="276"/>
      <c r="CD165" s="276"/>
      <c r="CE165" s="276"/>
      <c r="CF165" s="276"/>
      <c r="CG165" s="276"/>
      <c r="CH165" s="276"/>
      <c r="CI165" s="276"/>
      <c r="CJ165" s="276"/>
      <c r="CK165" s="276"/>
      <c r="CL165" s="276"/>
      <c r="CM165" s="276"/>
      <c r="CN165" s="276"/>
      <c r="CO165" s="276"/>
      <c r="CP165" s="276"/>
      <c r="CQ165" s="276"/>
      <c r="CR165" s="276"/>
      <c r="CS165" s="276"/>
      <c r="CT165" s="276"/>
      <c r="CU165" s="276"/>
      <c r="CV165" s="276"/>
      <c r="CW165" s="276"/>
      <c r="CX165" s="276"/>
      <c r="CY165" s="276"/>
      <c r="CZ165" s="276"/>
    </row>
    <row r="166" spans="1:104" x14ac:dyDescent="0.35">
      <c r="A166" s="27"/>
      <c r="B166" s="276"/>
      <c r="C166" s="277"/>
      <c r="D166" s="276"/>
      <c r="E166" s="276"/>
      <c r="F166" s="276"/>
      <c r="G166" s="276"/>
      <c r="H166" s="276"/>
      <c r="I166" s="276"/>
      <c r="J166" s="278"/>
      <c r="K166" s="278"/>
      <c r="L166" s="278"/>
      <c r="M166" s="278"/>
      <c r="N166" s="276"/>
      <c r="O166" s="276"/>
      <c r="P166" s="276"/>
      <c r="Q166" s="284"/>
      <c r="R166" s="27"/>
      <c r="S166" s="27"/>
      <c r="T166" s="27"/>
      <c r="U166" s="27"/>
      <c r="V166" s="27"/>
      <c r="W166" s="27"/>
      <c r="X166" s="29"/>
      <c r="Y166" s="29"/>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113"/>
      <c r="BC166" s="27"/>
      <c r="BD166" s="27"/>
      <c r="BE166" s="27"/>
      <c r="BF166" s="27"/>
      <c r="BG166" s="27"/>
      <c r="BH166" s="27"/>
      <c r="BI166" s="27"/>
      <c r="BJ166" s="27"/>
      <c r="BK166" s="27"/>
      <c r="BL166" s="27"/>
      <c r="BM166" s="27"/>
      <c r="BN166" s="27"/>
      <c r="BO166" s="27"/>
      <c r="BP166" s="87"/>
      <c r="BQ166" s="27"/>
      <c r="BR166" s="27"/>
      <c r="BS166" s="27"/>
      <c r="BT166" s="27"/>
      <c r="BU166" s="27"/>
      <c r="BV166" s="27"/>
      <c r="BW166" s="27"/>
      <c r="BX166" s="276"/>
      <c r="BY166" s="284"/>
      <c r="BZ166" s="276"/>
      <c r="CA166" s="276"/>
      <c r="CB166" s="276"/>
      <c r="CC166" s="276"/>
      <c r="CD166" s="276"/>
      <c r="CE166" s="276"/>
      <c r="CF166" s="276"/>
      <c r="CG166" s="276"/>
      <c r="CH166" s="276"/>
      <c r="CI166" s="276"/>
      <c r="CJ166" s="276"/>
      <c r="CK166" s="276"/>
      <c r="CL166" s="276"/>
      <c r="CM166" s="276"/>
      <c r="CN166" s="276"/>
      <c r="CO166" s="276"/>
      <c r="CP166" s="276"/>
      <c r="CQ166" s="276"/>
      <c r="CR166" s="276"/>
      <c r="CS166" s="276"/>
      <c r="CT166" s="276"/>
      <c r="CU166" s="276"/>
      <c r="CV166" s="276"/>
      <c r="CW166" s="276"/>
      <c r="CX166" s="276"/>
      <c r="CY166" s="276"/>
      <c r="CZ166" s="276"/>
    </row>
    <row r="167" spans="1:104" x14ac:dyDescent="0.35">
      <c r="A167" s="27"/>
      <c r="B167" s="276"/>
      <c r="C167" s="277"/>
      <c r="D167" s="276"/>
      <c r="E167" s="276"/>
      <c r="F167" s="276"/>
      <c r="G167" s="276"/>
      <c r="H167" s="276"/>
      <c r="I167" s="276"/>
      <c r="J167" s="278"/>
      <c r="K167" s="278"/>
      <c r="L167" s="278"/>
      <c r="M167" s="278"/>
      <c r="N167" s="280"/>
      <c r="O167" s="280"/>
      <c r="P167" s="280"/>
      <c r="Q167" s="284"/>
      <c r="R167" s="27"/>
      <c r="S167" s="27"/>
      <c r="T167" s="27"/>
      <c r="U167" s="27"/>
      <c r="V167" s="27"/>
      <c r="W167" s="27"/>
      <c r="X167" s="29"/>
      <c r="Y167" s="29"/>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113"/>
      <c r="BC167" s="27"/>
      <c r="BD167" s="27"/>
      <c r="BE167" s="27"/>
      <c r="BF167" s="27"/>
      <c r="BG167" s="27"/>
      <c r="BH167" s="27"/>
      <c r="BI167" s="27"/>
      <c r="BJ167" s="27"/>
      <c r="BK167" s="27"/>
      <c r="BL167" s="27"/>
      <c r="BM167" s="27"/>
      <c r="BN167" s="27"/>
      <c r="BO167" s="27"/>
      <c r="BP167" s="87"/>
      <c r="BQ167" s="27"/>
      <c r="BR167" s="27"/>
      <c r="BS167" s="27"/>
      <c r="BT167" s="27"/>
      <c r="BU167" s="27"/>
      <c r="BV167" s="27"/>
      <c r="BW167" s="27"/>
      <c r="BX167" s="276"/>
      <c r="BY167" s="284"/>
      <c r="BZ167" s="276"/>
      <c r="CA167" s="276"/>
      <c r="CB167" s="276"/>
      <c r="CC167" s="276"/>
      <c r="CD167" s="276"/>
      <c r="CE167" s="276"/>
      <c r="CF167" s="276"/>
      <c r="CG167" s="276"/>
      <c r="CH167" s="276"/>
      <c r="CI167" s="276"/>
      <c r="CJ167" s="276"/>
      <c r="CK167" s="276"/>
      <c r="CL167" s="276"/>
      <c r="CM167" s="276"/>
      <c r="CN167" s="276"/>
      <c r="CO167" s="276"/>
      <c r="CP167" s="276"/>
      <c r="CQ167" s="276"/>
      <c r="CR167" s="276"/>
      <c r="CS167" s="276"/>
      <c r="CT167" s="276"/>
      <c r="CU167" s="276"/>
      <c r="CV167" s="276"/>
      <c r="CW167" s="276"/>
      <c r="CX167" s="276"/>
      <c r="CY167" s="276"/>
      <c r="CZ167" s="276"/>
    </row>
    <row r="168" spans="1:104" x14ac:dyDescent="0.35">
      <c r="A168" s="27"/>
      <c r="B168" s="276"/>
      <c r="C168" s="277"/>
      <c r="D168" s="276"/>
      <c r="E168" s="276"/>
      <c r="F168" s="276"/>
      <c r="G168" s="276"/>
      <c r="H168" s="276"/>
      <c r="I168" s="276"/>
      <c r="J168" s="278"/>
      <c r="K168" s="278"/>
      <c r="L168" s="278"/>
      <c r="M168" s="278"/>
      <c r="N168" s="276"/>
      <c r="O168" s="276"/>
      <c r="P168" s="276"/>
      <c r="Q168" s="284"/>
      <c r="R168" s="27"/>
      <c r="S168" s="27"/>
      <c r="T168" s="27"/>
      <c r="U168" s="27"/>
      <c r="V168" s="27"/>
      <c r="W168" s="27"/>
      <c r="X168" s="29"/>
      <c r="Y168" s="29"/>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113"/>
      <c r="BC168" s="27"/>
      <c r="BD168" s="27"/>
      <c r="BE168" s="27"/>
      <c r="BF168" s="27"/>
      <c r="BG168" s="27"/>
      <c r="BH168" s="27"/>
      <c r="BI168" s="27"/>
      <c r="BJ168" s="27"/>
      <c r="BK168" s="27"/>
      <c r="BL168" s="27"/>
      <c r="BM168" s="27"/>
      <c r="BN168" s="27"/>
      <c r="BO168" s="27"/>
      <c r="BP168" s="87"/>
      <c r="BQ168" s="27"/>
      <c r="BR168" s="27"/>
      <c r="BS168" s="27"/>
      <c r="BT168" s="27"/>
      <c r="BU168" s="27"/>
      <c r="BV168" s="27"/>
      <c r="BW168" s="27"/>
      <c r="BX168" s="276"/>
      <c r="BY168" s="284"/>
      <c r="BZ168" s="276"/>
      <c r="CA168" s="276"/>
      <c r="CB168" s="276"/>
      <c r="CC168" s="276"/>
      <c r="CD168" s="276"/>
      <c r="CE168" s="276"/>
      <c r="CF168" s="276"/>
      <c r="CG168" s="276"/>
      <c r="CH168" s="276"/>
      <c r="CI168" s="276"/>
      <c r="CJ168" s="276"/>
      <c r="CK168" s="276"/>
      <c r="CL168" s="276"/>
      <c r="CM168" s="276"/>
      <c r="CN168" s="276"/>
      <c r="CO168" s="276"/>
      <c r="CP168" s="276"/>
      <c r="CQ168" s="276"/>
      <c r="CR168" s="276"/>
      <c r="CS168" s="276"/>
      <c r="CT168" s="276"/>
      <c r="CU168" s="276"/>
      <c r="CV168" s="276"/>
      <c r="CW168" s="276"/>
      <c r="CX168" s="276"/>
      <c r="CY168" s="276"/>
      <c r="CZ168" s="276"/>
    </row>
    <row r="169" spans="1:104" x14ac:dyDescent="0.35">
      <c r="A169" s="27"/>
      <c r="B169" s="276"/>
      <c r="C169" s="277"/>
      <c r="D169" s="276"/>
      <c r="E169" s="276"/>
      <c r="F169" s="276"/>
      <c r="G169" s="276"/>
      <c r="H169" s="276"/>
      <c r="I169" s="276"/>
      <c r="J169" s="278"/>
      <c r="K169" s="278"/>
      <c r="L169" s="278"/>
      <c r="M169" s="278"/>
      <c r="N169" s="276"/>
      <c r="O169" s="276"/>
      <c r="P169" s="276"/>
      <c r="Q169" s="284"/>
      <c r="R169" s="27"/>
      <c r="S169" s="27"/>
      <c r="T169" s="27"/>
      <c r="U169" s="27"/>
      <c r="V169" s="27"/>
      <c r="W169" s="27"/>
      <c r="X169" s="29"/>
      <c r="Y169" s="29"/>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113"/>
      <c r="BC169" s="27"/>
      <c r="BD169" s="27"/>
      <c r="BE169" s="27"/>
      <c r="BF169" s="27"/>
      <c r="BG169" s="27"/>
      <c r="BH169" s="27"/>
      <c r="BI169" s="27"/>
      <c r="BJ169" s="27"/>
      <c r="BK169" s="27"/>
      <c r="BL169" s="27"/>
      <c r="BM169" s="27"/>
      <c r="BN169" s="27"/>
      <c r="BO169" s="27"/>
      <c r="BP169" s="87"/>
      <c r="BQ169" s="27"/>
      <c r="BR169" s="27"/>
      <c r="BS169" s="27"/>
      <c r="BT169" s="27"/>
      <c r="BU169" s="27"/>
      <c r="BV169" s="27"/>
      <c r="BW169" s="27"/>
      <c r="BX169" s="276"/>
      <c r="BY169" s="284"/>
      <c r="BZ169" s="276"/>
      <c r="CA169" s="276"/>
      <c r="CB169" s="276"/>
      <c r="CC169" s="276"/>
      <c r="CD169" s="276"/>
      <c r="CE169" s="276"/>
      <c r="CF169" s="276"/>
      <c r="CG169" s="276"/>
      <c r="CH169" s="276"/>
      <c r="CI169" s="276"/>
      <c r="CJ169" s="276"/>
      <c r="CK169" s="276"/>
      <c r="CL169" s="276"/>
      <c r="CM169" s="276"/>
      <c r="CN169" s="276"/>
      <c r="CO169" s="276"/>
      <c r="CP169" s="276"/>
      <c r="CQ169" s="276"/>
      <c r="CR169" s="276"/>
      <c r="CS169" s="276"/>
      <c r="CT169" s="276"/>
      <c r="CU169" s="276"/>
      <c r="CV169" s="276"/>
      <c r="CW169" s="276"/>
      <c r="CX169" s="276"/>
      <c r="CY169" s="276"/>
      <c r="CZ169" s="276"/>
    </row>
    <row r="170" spans="1:104" x14ac:dyDescent="0.35">
      <c r="A170" s="27"/>
      <c r="B170" s="276"/>
      <c r="C170" s="277"/>
      <c r="D170" s="276"/>
      <c r="E170" s="276"/>
      <c r="F170" s="276"/>
      <c r="G170" s="276"/>
      <c r="H170" s="276"/>
      <c r="I170" s="276"/>
      <c r="J170" s="278"/>
      <c r="K170" s="278"/>
      <c r="L170" s="278"/>
      <c r="M170" s="278"/>
      <c r="N170" s="276"/>
      <c r="O170" s="276"/>
      <c r="P170" s="276"/>
      <c r="Q170" s="284"/>
      <c r="R170" s="27"/>
      <c r="S170" s="27"/>
      <c r="T170" s="27"/>
      <c r="U170" s="27"/>
      <c r="V170" s="27"/>
      <c r="W170" s="27"/>
      <c r="X170" s="29"/>
      <c r="Y170" s="29"/>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113"/>
      <c r="BC170" s="27"/>
      <c r="BD170" s="27"/>
      <c r="BE170" s="27"/>
      <c r="BF170" s="27"/>
      <c r="BG170" s="27"/>
      <c r="BH170" s="27"/>
      <c r="BI170" s="27"/>
      <c r="BJ170" s="27"/>
      <c r="BK170" s="27"/>
      <c r="BL170" s="27"/>
      <c r="BM170" s="27"/>
      <c r="BN170" s="27"/>
      <c r="BO170" s="27"/>
      <c r="BP170" s="87"/>
      <c r="BQ170" s="27"/>
      <c r="BR170" s="27"/>
      <c r="BS170" s="27"/>
      <c r="BT170" s="27"/>
      <c r="BU170" s="27"/>
      <c r="BV170" s="27"/>
      <c r="BW170" s="27"/>
      <c r="BX170" s="276"/>
      <c r="BY170" s="284"/>
      <c r="BZ170" s="276"/>
      <c r="CA170" s="276"/>
      <c r="CB170" s="276"/>
      <c r="CC170" s="276"/>
      <c r="CD170" s="276"/>
      <c r="CE170" s="276"/>
      <c r="CF170" s="276"/>
      <c r="CG170" s="276"/>
      <c r="CH170" s="276"/>
      <c r="CI170" s="276"/>
      <c r="CJ170" s="276"/>
      <c r="CK170" s="276"/>
      <c r="CL170" s="276"/>
      <c r="CM170" s="276"/>
      <c r="CN170" s="276"/>
      <c r="CO170" s="276"/>
      <c r="CP170" s="276"/>
      <c r="CQ170" s="276"/>
      <c r="CR170" s="276"/>
      <c r="CS170" s="276"/>
      <c r="CT170" s="276"/>
      <c r="CU170" s="276"/>
      <c r="CV170" s="276"/>
      <c r="CW170" s="276"/>
      <c r="CX170" s="276"/>
      <c r="CY170" s="276"/>
      <c r="CZ170" s="276"/>
    </row>
    <row r="171" spans="1:104" x14ac:dyDescent="0.35">
      <c r="A171" s="27"/>
      <c r="B171" s="276"/>
      <c r="C171" s="277"/>
      <c r="D171" s="276"/>
      <c r="E171" s="276"/>
      <c r="F171" s="276"/>
      <c r="G171" s="276"/>
      <c r="H171" s="276"/>
      <c r="I171" s="276"/>
      <c r="J171" s="278"/>
      <c r="K171" s="278"/>
      <c r="L171" s="278"/>
      <c r="M171" s="278"/>
      <c r="N171" s="276"/>
      <c r="O171" s="276"/>
      <c r="P171" s="276"/>
      <c r="Q171" s="284"/>
      <c r="R171" s="27"/>
      <c r="S171" s="27"/>
      <c r="T171" s="27"/>
      <c r="U171" s="27"/>
      <c r="V171" s="27"/>
      <c r="W171" s="27"/>
      <c r="X171" s="29"/>
      <c r="Y171" s="29"/>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113"/>
      <c r="BC171" s="27"/>
      <c r="BD171" s="27"/>
      <c r="BE171" s="27"/>
      <c r="BF171" s="27"/>
      <c r="BG171" s="27"/>
      <c r="BH171" s="27"/>
      <c r="BI171" s="27"/>
      <c r="BJ171" s="27"/>
      <c r="BK171" s="27"/>
      <c r="BL171" s="27"/>
      <c r="BM171" s="27"/>
      <c r="BN171" s="27"/>
      <c r="BO171" s="27"/>
      <c r="BP171" s="87"/>
      <c r="BQ171" s="27"/>
      <c r="BR171" s="27"/>
      <c r="BS171" s="27"/>
      <c r="BT171" s="27"/>
      <c r="BU171" s="27"/>
      <c r="BV171" s="27"/>
      <c r="BW171" s="27"/>
      <c r="BX171" s="276"/>
      <c r="BY171" s="284"/>
      <c r="BZ171" s="276"/>
      <c r="CA171" s="276"/>
      <c r="CB171" s="276"/>
      <c r="CC171" s="276"/>
      <c r="CD171" s="276"/>
      <c r="CE171" s="276"/>
      <c r="CF171" s="276"/>
      <c r="CG171" s="276"/>
      <c r="CH171" s="276"/>
      <c r="CI171" s="276"/>
      <c r="CJ171" s="276"/>
      <c r="CK171" s="276"/>
      <c r="CL171" s="276"/>
      <c r="CM171" s="276"/>
      <c r="CN171" s="276"/>
      <c r="CO171" s="276"/>
      <c r="CP171" s="276"/>
      <c r="CQ171" s="276"/>
      <c r="CR171" s="276"/>
      <c r="CS171" s="276"/>
      <c r="CT171" s="276"/>
      <c r="CU171" s="276"/>
      <c r="CV171" s="276"/>
      <c r="CW171" s="276"/>
      <c r="CX171" s="276"/>
      <c r="CY171" s="276"/>
      <c r="CZ171" s="276"/>
    </row>
    <row r="172" spans="1:104" x14ac:dyDescent="0.35">
      <c r="A172" s="27"/>
      <c r="B172" s="276"/>
      <c r="C172" s="277"/>
      <c r="D172" s="276"/>
      <c r="E172" s="276"/>
      <c r="F172" s="276"/>
      <c r="G172" s="276"/>
      <c r="H172" s="276"/>
      <c r="I172" s="276"/>
      <c r="J172" s="278"/>
      <c r="K172" s="278"/>
      <c r="L172" s="278"/>
      <c r="M172" s="278"/>
      <c r="N172" s="276"/>
      <c r="O172" s="276"/>
      <c r="P172" s="276"/>
      <c r="Q172" s="284"/>
      <c r="R172" s="27"/>
      <c r="S172" s="27"/>
      <c r="T172" s="27"/>
      <c r="U172" s="27"/>
      <c r="V172" s="27"/>
      <c r="W172" s="27"/>
      <c r="X172" s="29"/>
      <c r="Y172" s="29"/>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113"/>
      <c r="BC172" s="27"/>
      <c r="BD172" s="27"/>
      <c r="BE172" s="27"/>
      <c r="BF172" s="27"/>
      <c r="BG172" s="27"/>
      <c r="BH172" s="27"/>
      <c r="BI172" s="27"/>
      <c r="BJ172" s="27"/>
      <c r="BK172" s="27"/>
      <c r="BL172" s="27"/>
      <c r="BM172" s="27"/>
      <c r="BN172" s="27"/>
      <c r="BO172" s="27"/>
      <c r="BP172" s="87"/>
      <c r="BQ172" s="27"/>
      <c r="BR172" s="27"/>
      <c r="BS172" s="27"/>
      <c r="BT172" s="27"/>
      <c r="BU172" s="27"/>
      <c r="BV172" s="27"/>
      <c r="BW172" s="27"/>
      <c r="BX172" s="276"/>
      <c r="BY172" s="284"/>
      <c r="BZ172" s="276"/>
      <c r="CA172" s="276"/>
      <c r="CB172" s="276"/>
      <c r="CC172" s="276"/>
      <c r="CD172" s="276"/>
      <c r="CE172" s="276"/>
      <c r="CF172" s="276"/>
      <c r="CG172" s="276"/>
      <c r="CH172" s="276"/>
      <c r="CI172" s="276"/>
      <c r="CJ172" s="276"/>
      <c r="CK172" s="276"/>
      <c r="CL172" s="276"/>
      <c r="CM172" s="276"/>
      <c r="CN172" s="276"/>
      <c r="CO172" s="276"/>
      <c r="CP172" s="276"/>
      <c r="CQ172" s="276"/>
      <c r="CR172" s="276"/>
      <c r="CS172" s="276"/>
      <c r="CT172" s="276"/>
      <c r="CU172" s="276"/>
      <c r="CV172" s="276"/>
      <c r="CW172" s="276"/>
      <c r="CX172" s="276"/>
      <c r="CY172" s="276"/>
      <c r="CZ172" s="276"/>
    </row>
    <row r="173" spans="1:104" x14ac:dyDescent="0.35">
      <c r="A173" s="27"/>
      <c r="B173" s="276"/>
      <c r="C173" s="277"/>
      <c r="D173" s="276"/>
      <c r="E173" s="276"/>
      <c r="F173" s="276"/>
      <c r="G173" s="276"/>
      <c r="H173" s="276"/>
      <c r="I173" s="276"/>
      <c r="J173" s="278"/>
      <c r="K173" s="278"/>
      <c r="L173" s="278"/>
      <c r="M173" s="278"/>
      <c r="N173" s="276"/>
      <c r="O173" s="276"/>
      <c r="P173" s="276"/>
      <c r="Q173" s="284"/>
      <c r="R173" s="27"/>
      <c r="S173" s="27"/>
      <c r="T173" s="27"/>
      <c r="U173" s="27"/>
      <c r="V173" s="27"/>
      <c r="W173" s="27"/>
      <c r="X173" s="29"/>
      <c r="Y173" s="29"/>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113"/>
      <c r="BC173" s="27"/>
      <c r="BD173" s="27"/>
      <c r="BE173" s="27"/>
      <c r="BF173" s="27"/>
      <c r="BG173" s="27"/>
      <c r="BH173" s="27"/>
      <c r="BI173" s="27"/>
      <c r="BJ173" s="27"/>
      <c r="BK173" s="27"/>
      <c r="BL173" s="27"/>
      <c r="BM173" s="27"/>
      <c r="BN173" s="27"/>
      <c r="BO173" s="27"/>
      <c r="BP173" s="87"/>
      <c r="BQ173" s="27"/>
      <c r="BR173" s="27"/>
      <c r="BS173" s="27"/>
      <c r="BT173" s="27"/>
      <c r="BU173" s="27"/>
      <c r="BV173" s="27"/>
      <c r="BW173" s="27"/>
      <c r="BX173" s="276"/>
      <c r="BY173" s="284"/>
      <c r="BZ173" s="276"/>
      <c r="CA173" s="276"/>
      <c r="CB173" s="276"/>
      <c r="CC173" s="276"/>
      <c r="CD173" s="276"/>
      <c r="CE173" s="276"/>
      <c r="CF173" s="276"/>
      <c r="CG173" s="276"/>
      <c r="CH173" s="276"/>
      <c r="CI173" s="276"/>
      <c r="CJ173" s="276"/>
      <c r="CK173" s="276"/>
      <c r="CL173" s="276"/>
      <c r="CM173" s="276"/>
      <c r="CN173" s="276"/>
      <c r="CO173" s="276"/>
      <c r="CP173" s="276"/>
      <c r="CQ173" s="276"/>
      <c r="CR173" s="276"/>
      <c r="CS173" s="276"/>
      <c r="CT173" s="276"/>
      <c r="CU173" s="276"/>
      <c r="CV173" s="276"/>
      <c r="CW173" s="276"/>
      <c r="CX173" s="276"/>
      <c r="CY173" s="276"/>
      <c r="CZ173" s="276"/>
    </row>
    <row r="174" spans="1:104" x14ac:dyDescent="0.35">
      <c r="A174" s="27"/>
      <c r="B174" s="276"/>
      <c r="C174" s="277"/>
      <c r="D174" s="276"/>
      <c r="E174" s="276"/>
      <c r="F174" s="276"/>
      <c r="G174" s="276"/>
      <c r="H174" s="276"/>
      <c r="I174" s="276"/>
      <c r="J174" s="278"/>
      <c r="K174" s="278"/>
      <c r="L174" s="278"/>
      <c r="M174" s="278"/>
      <c r="N174" s="276"/>
      <c r="O174" s="276"/>
      <c r="P174" s="276"/>
      <c r="Q174" s="284"/>
      <c r="R174" s="27"/>
      <c r="S174" s="27"/>
      <c r="T174" s="27"/>
      <c r="U174" s="27"/>
      <c r="V174" s="27"/>
      <c r="W174" s="27"/>
      <c r="X174" s="29"/>
      <c r="Y174" s="29"/>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113"/>
      <c r="BC174" s="27"/>
      <c r="BD174" s="27"/>
      <c r="BE174" s="27"/>
      <c r="BF174" s="27"/>
      <c r="BG174" s="27"/>
      <c r="BH174" s="27"/>
      <c r="BI174" s="27"/>
      <c r="BJ174" s="27"/>
      <c r="BK174" s="27"/>
      <c r="BL174" s="27"/>
      <c r="BM174" s="27"/>
      <c r="BN174" s="27"/>
      <c r="BO174" s="27"/>
      <c r="BP174" s="87"/>
      <c r="BQ174" s="27"/>
      <c r="BR174" s="27"/>
      <c r="BS174" s="27"/>
      <c r="BT174" s="27"/>
      <c r="BU174" s="27"/>
      <c r="BV174" s="27"/>
      <c r="BW174" s="27"/>
      <c r="BX174" s="276"/>
      <c r="BY174" s="284"/>
      <c r="BZ174" s="276"/>
      <c r="CA174" s="276"/>
      <c r="CB174" s="276"/>
      <c r="CC174" s="276"/>
      <c r="CD174" s="276"/>
      <c r="CE174" s="276"/>
      <c r="CF174" s="276"/>
      <c r="CG174" s="276"/>
      <c r="CH174" s="276"/>
      <c r="CI174" s="276"/>
      <c r="CJ174" s="276"/>
      <c r="CK174" s="276"/>
      <c r="CL174" s="276"/>
      <c r="CM174" s="276"/>
      <c r="CN174" s="276"/>
      <c r="CO174" s="276"/>
      <c r="CP174" s="276"/>
      <c r="CQ174" s="276"/>
      <c r="CR174" s="276"/>
      <c r="CS174" s="276"/>
      <c r="CT174" s="276"/>
      <c r="CU174" s="276"/>
      <c r="CV174" s="276"/>
      <c r="CW174" s="276"/>
      <c r="CX174" s="276"/>
      <c r="CY174" s="276"/>
      <c r="CZ174" s="276"/>
    </row>
    <row r="175" spans="1:104" x14ac:dyDescent="0.35">
      <c r="A175" s="27"/>
      <c r="B175" s="276"/>
      <c r="C175" s="277"/>
      <c r="D175" s="276"/>
      <c r="E175" s="276"/>
      <c r="F175" s="276"/>
      <c r="G175" s="276"/>
      <c r="H175" s="276"/>
      <c r="I175" s="276"/>
      <c r="J175" s="278"/>
      <c r="K175" s="278"/>
      <c r="L175" s="278"/>
      <c r="M175" s="278"/>
      <c r="N175" s="276"/>
      <c r="O175" s="276"/>
      <c r="P175" s="276"/>
      <c r="Q175" s="284"/>
      <c r="R175" s="27"/>
      <c r="S175" s="27"/>
      <c r="T175" s="27"/>
      <c r="U175" s="27"/>
      <c r="V175" s="27"/>
      <c r="W175" s="27"/>
      <c r="X175" s="29"/>
      <c r="Y175" s="29"/>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113"/>
      <c r="BC175" s="27"/>
      <c r="BD175" s="27"/>
      <c r="BE175" s="27"/>
      <c r="BF175" s="27"/>
      <c r="BG175" s="27"/>
      <c r="BH175" s="27"/>
      <c r="BI175" s="27"/>
      <c r="BJ175" s="27"/>
      <c r="BK175" s="27"/>
      <c r="BL175" s="27"/>
      <c r="BM175" s="27"/>
      <c r="BN175" s="27"/>
      <c r="BO175" s="27"/>
      <c r="BP175" s="87"/>
      <c r="BQ175" s="27"/>
      <c r="BR175" s="27"/>
      <c r="BS175" s="27"/>
      <c r="BT175" s="27"/>
      <c r="BU175" s="27"/>
      <c r="BV175" s="27"/>
      <c r="BW175" s="27"/>
      <c r="BX175" s="276"/>
      <c r="BY175" s="284"/>
      <c r="BZ175" s="276"/>
      <c r="CA175" s="276"/>
      <c r="CB175" s="276"/>
      <c r="CC175" s="276"/>
      <c r="CD175" s="276"/>
      <c r="CE175" s="276"/>
      <c r="CF175" s="276"/>
      <c r="CG175" s="276"/>
      <c r="CH175" s="276"/>
      <c r="CI175" s="276"/>
      <c r="CJ175" s="276"/>
      <c r="CK175" s="276"/>
      <c r="CL175" s="276"/>
      <c r="CM175" s="276"/>
      <c r="CN175" s="276"/>
      <c r="CO175" s="276"/>
      <c r="CP175" s="276"/>
      <c r="CQ175" s="276"/>
      <c r="CR175" s="276"/>
      <c r="CS175" s="276"/>
      <c r="CT175" s="276"/>
      <c r="CU175" s="276"/>
      <c r="CV175" s="276"/>
      <c r="CW175" s="276"/>
      <c r="CX175" s="276"/>
      <c r="CY175" s="276"/>
      <c r="CZ175" s="276"/>
    </row>
    <row r="176" spans="1:104" x14ac:dyDescent="0.35">
      <c r="A176" s="27"/>
      <c r="B176" s="276"/>
      <c r="C176" s="277"/>
      <c r="D176" s="276"/>
      <c r="E176" s="276"/>
      <c r="F176" s="276"/>
      <c r="G176" s="276"/>
      <c r="H176" s="276"/>
      <c r="I176" s="276"/>
      <c r="J176" s="278"/>
      <c r="K176" s="278"/>
      <c r="L176" s="278"/>
      <c r="M176" s="278"/>
      <c r="N176" s="276"/>
      <c r="O176" s="276"/>
      <c r="P176" s="276"/>
      <c r="Q176" s="284"/>
      <c r="R176" s="27"/>
      <c r="S176" s="27"/>
      <c r="T176" s="27"/>
      <c r="U176" s="27"/>
      <c r="V176" s="27"/>
      <c r="W176" s="27"/>
      <c r="X176" s="29"/>
      <c r="Y176" s="29"/>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113"/>
      <c r="BC176" s="27"/>
      <c r="BD176" s="27"/>
      <c r="BE176" s="27"/>
      <c r="BF176" s="27"/>
      <c r="BG176" s="27"/>
      <c r="BH176" s="27"/>
      <c r="BI176" s="27"/>
      <c r="BJ176" s="27"/>
      <c r="BK176" s="27"/>
      <c r="BL176" s="27"/>
      <c r="BM176" s="27"/>
      <c r="BN176" s="27"/>
      <c r="BO176" s="27"/>
      <c r="BP176" s="87"/>
      <c r="BQ176" s="27"/>
      <c r="BR176" s="27"/>
      <c r="BS176" s="27"/>
      <c r="BT176" s="27"/>
      <c r="BU176" s="27"/>
      <c r="BV176" s="27"/>
      <c r="BW176" s="27"/>
      <c r="BX176" s="276"/>
      <c r="BY176" s="284"/>
      <c r="BZ176" s="276"/>
      <c r="CA176" s="276"/>
      <c r="CB176" s="276"/>
      <c r="CC176" s="276"/>
      <c r="CD176" s="276"/>
      <c r="CE176" s="276"/>
      <c r="CF176" s="276"/>
      <c r="CG176" s="276"/>
      <c r="CH176" s="276"/>
      <c r="CI176" s="276"/>
      <c r="CJ176" s="276"/>
      <c r="CK176" s="276"/>
      <c r="CL176" s="276"/>
      <c r="CM176" s="276"/>
      <c r="CN176" s="276"/>
      <c r="CO176" s="276"/>
      <c r="CP176" s="276"/>
      <c r="CQ176" s="276"/>
      <c r="CR176" s="276"/>
      <c r="CS176" s="276"/>
      <c r="CT176" s="276"/>
      <c r="CU176" s="276"/>
      <c r="CV176" s="276"/>
      <c r="CW176" s="276"/>
      <c r="CX176" s="276"/>
      <c r="CY176" s="276"/>
      <c r="CZ176" s="276"/>
    </row>
    <row r="177" spans="1:104" x14ac:dyDescent="0.35">
      <c r="A177" s="27"/>
      <c r="B177" s="276"/>
      <c r="C177" s="277"/>
      <c r="D177" s="276"/>
      <c r="E177" s="276"/>
      <c r="F177" s="276"/>
      <c r="G177" s="276"/>
      <c r="H177" s="276"/>
      <c r="I177" s="276"/>
      <c r="J177" s="278"/>
      <c r="K177" s="278"/>
      <c r="L177" s="278"/>
      <c r="M177" s="278"/>
      <c r="N177" s="276"/>
      <c r="O177" s="276"/>
      <c r="P177" s="276"/>
      <c r="Q177" s="284"/>
      <c r="R177" s="27"/>
      <c r="S177" s="27"/>
      <c r="T177" s="27"/>
      <c r="U177" s="27"/>
      <c r="V177" s="27"/>
      <c r="W177" s="27"/>
      <c r="X177" s="29"/>
      <c r="Y177" s="29"/>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113"/>
      <c r="BC177" s="27"/>
      <c r="BD177" s="27"/>
      <c r="BE177" s="27"/>
      <c r="BF177" s="27"/>
      <c r="BG177" s="27"/>
      <c r="BH177" s="27"/>
      <c r="BI177" s="27"/>
      <c r="BJ177" s="27"/>
      <c r="BK177" s="27"/>
      <c r="BL177" s="27"/>
      <c r="BM177" s="27"/>
      <c r="BN177" s="27"/>
      <c r="BO177" s="27"/>
      <c r="BP177" s="87"/>
      <c r="BQ177" s="27"/>
      <c r="BR177" s="27"/>
      <c r="BS177" s="27"/>
      <c r="BT177" s="27"/>
      <c r="BU177" s="27"/>
      <c r="BV177" s="27"/>
      <c r="BW177" s="27"/>
      <c r="BX177" s="276"/>
      <c r="BY177" s="284"/>
      <c r="BZ177" s="276"/>
      <c r="CA177" s="276"/>
      <c r="CB177" s="276"/>
      <c r="CC177" s="276"/>
      <c r="CD177" s="276"/>
      <c r="CE177" s="276"/>
      <c r="CF177" s="276"/>
      <c r="CG177" s="276"/>
      <c r="CH177" s="276"/>
      <c r="CI177" s="276"/>
      <c r="CJ177" s="276"/>
      <c r="CK177" s="276"/>
      <c r="CL177" s="276"/>
      <c r="CM177" s="276"/>
      <c r="CN177" s="276"/>
      <c r="CO177" s="276"/>
      <c r="CP177" s="276"/>
      <c r="CQ177" s="276"/>
      <c r="CR177" s="276"/>
      <c r="CS177" s="276"/>
      <c r="CT177" s="276"/>
      <c r="CU177" s="276"/>
      <c r="CV177" s="276"/>
      <c r="CW177" s="276"/>
      <c r="CX177" s="276"/>
      <c r="CY177" s="276"/>
      <c r="CZ177" s="276"/>
    </row>
    <row r="178" spans="1:104" x14ac:dyDescent="0.35">
      <c r="A178" s="27"/>
      <c r="B178" s="276"/>
      <c r="C178" s="277"/>
      <c r="D178" s="276"/>
      <c r="E178" s="276"/>
      <c r="F178" s="276"/>
      <c r="G178" s="276"/>
      <c r="H178" s="276"/>
      <c r="I178" s="276"/>
      <c r="J178" s="278"/>
      <c r="K178" s="278"/>
      <c r="L178" s="278"/>
      <c r="M178" s="278"/>
      <c r="N178" s="276"/>
      <c r="O178" s="276"/>
      <c r="P178" s="276"/>
      <c r="Q178" s="284"/>
      <c r="R178" s="27"/>
      <c r="S178" s="27"/>
      <c r="T178" s="27"/>
      <c r="U178" s="27"/>
      <c r="V178" s="27"/>
      <c r="W178" s="27"/>
      <c r="X178" s="29"/>
      <c r="Y178" s="29"/>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113"/>
      <c r="BC178" s="27"/>
      <c r="BD178" s="27"/>
      <c r="BE178" s="27"/>
      <c r="BF178" s="27"/>
      <c r="BG178" s="27"/>
      <c r="BH178" s="27"/>
      <c r="BI178" s="27"/>
      <c r="BJ178" s="27"/>
      <c r="BK178" s="27"/>
      <c r="BL178" s="27"/>
      <c r="BM178" s="27"/>
      <c r="BN178" s="27"/>
      <c r="BO178" s="27"/>
      <c r="BP178" s="87"/>
      <c r="BQ178" s="27"/>
      <c r="BR178" s="27"/>
      <c r="BS178" s="27"/>
      <c r="BT178" s="27"/>
      <c r="BU178" s="27"/>
      <c r="BV178" s="27"/>
      <c r="BW178" s="27"/>
      <c r="BX178" s="276"/>
      <c r="BY178" s="284"/>
      <c r="BZ178" s="276"/>
      <c r="CA178" s="276"/>
      <c r="CB178" s="276"/>
      <c r="CC178" s="276"/>
      <c r="CD178" s="276"/>
      <c r="CE178" s="276"/>
      <c r="CF178" s="276"/>
      <c r="CG178" s="276"/>
      <c r="CH178" s="276"/>
      <c r="CI178" s="276"/>
      <c r="CJ178" s="276"/>
      <c r="CK178" s="276"/>
      <c r="CL178" s="276"/>
      <c r="CM178" s="276"/>
      <c r="CN178" s="276"/>
      <c r="CO178" s="276"/>
      <c r="CP178" s="276"/>
      <c r="CQ178" s="276"/>
      <c r="CR178" s="276"/>
      <c r="CS178" s="276"/>
      <c r="CT178" s="276"/>
      <c r="CU178" s="276"/>
      <c r="CV178" s="276"/>
      <c r="CW178" s="276"/>
      <c r="CX178" s="276"/>
      <c r="CY178" s="276"/>
      <c r="CZ178" s="276"/>
    </row>
    <row r="179" spans="1:104" x14ac:dyDescent="0.35">
      <c r="A179" s="27"/>
      <c r="B179" s="276"/>
      <c r="C179" s="277"/>
      <c r="D179" s="276"/>
      <c r="E179" s="276"/>
      <c r="F179" s="276"/>
      <c r="G179" s="276"/>
      <c r="H179" s="276"/>
      <c r="I179" s="276"/>
      <c r="J179" s="278"/>
      <c r="K179" s="278"/>
      <c r="L179" s="278"/>
      <c r="M179" s="278"/>
      <c r="N179" s="276"/>
      <c r="O179" s="276"/>
      <c r="P179" s="276"/>
      <c r="Q179" s="284"/>
      <c r="R179" s="27"/>
      <c r="S179" s="27"/>
      <c r="T179" s="27"/>
      <c r="U179" s="27"/>
      <c r="V179" s="27"/>
      <c r="W179" s="27"/>
      <c r="X179" s="29"/>
      <c r="Y179" s="29"/>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113"/>
      <c r="BC179" s="27"/>
      <c r="BD179" s="27"/>
      <c r="BE179" s="27"/>
      <c r="BF179" s="27"/>
      <c r="BG179" s="27"/>
      <c r="BH179" s="27"/>
      <c r="BI179" s="27"/>
      <c r="BJ179" s="27"/>
      <c r="BK179" s="27"/>
      <c r="BL179" s="27"/>
      <c r="BM179" s="27"/>
      <c r="BN179" s="27"/>
      <c r="BO179" s="27"/>
      <c r="BP179" s="87"/>
      <c r="BQ179" s="27"/>
      <c r="BR179" s="27"/>
      <c r="BS179" s="27"/>
      <c r="BT179" s="27"/>
      <c r="BU179" s="27"/>
      <c r="BV179" s="27"/>
      <c r="BW179" s="27"/>
      <c r="BX179" s="276"/>
      <c r="BY179" s="284"/>
      <c r="BZ179" s="276"/>
      <c r="CA179" s="276"/>
      <c r="CB179" s="276"/>
      <c r="CC179" s="276"/>
      <c r="CD179" s="276"/>
      <c r="CE179" s="276"/>
      <c r="CF179" s="276"/>
      <c r="CG179" s="276"/>
      <c r="CH179" s="276"/>
      <c r="CI179" s="276"/>
      <c r="CJ179" s="276"/>
      <c r="CK179" s="276"/>
      <c r="CL179" s="276"/>
      <c r="CM179" s="276"/>
      <c r="CN179" s="276"/>
      <c r="CO179" s="276"/>
      <c r="CP179" s="276"/>
      <c r="CQ179" s="276"/>
      <c r="CR179" s="276"/>
      <c r="CS179" s="276"/>
      <c r="CT179" s="276"/>
      <c r="CU179" s="276"/>
      <c r="CV179" s="276"/>
      <c r="CW179" s="276"/>
      <c r="CX179" s="276"/>
      <c r="CY179" s="276"/>
      <c r="CZ179" s="276"/>
    </row>
    <row r="180" spans="1:104" x14ac:dyDescent="0.35">
      <c r="A180" s="27"/>
      <c r="B180" s="276"/>
      <c r="C180" s="277"/>
      <c r="D180" s="276"/>
      <c r="E180" s="276"/>
      <c r="F180" s="276"/>
      <c r="G180" s="276"/>
      <c r="H180" s="276"/>
      <c r="I180" s="276"/>
      <c r="J180" s="278"/>
      <c r="K180" s="278"/>
      <c r="L180" s="278"/>
      <c r="M180" s="278"/>
      <c r="N180" s="276"/>
      <c r="O180" s="276"/>
      <c r="P180" s="276"/>
      <c r="Q180" s="284"/>
      <c r="R180" s="27"/>
      <c r="S180" s="27"/>
      <c r="T180" s="27"/>
      <c r="U180" s="27"/>
      <c r="V180" s="27"/>
      <c r="W180" s="27"/>
      <c r="X180" s="29"/>
      <c r="Y180" s="29"/>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113"/>
      <c r="BC180" s="27"/>
      <c r="BD180" s="27"/>
      <c r="BE180" s="27"/>
      <c r="BF180" s="27"/>
      <c r="BG180" s="27"/>
      <c r="BH180" s="27"/>
      <c r="BI180" s="27"/>
      <c r="BJ180" s="27"/>
      <c r="BK180" s="27"/>
      <c r="BL180" s="27"/>
      <c r="BM180" s="27"/>
      <c r="BN180" s="27"/>
      <c r="BO180" s="27"/>
      <c r="BP180" s="87"/>
      <c r="BQ180" s="27"/>
      <c r="BR180" s="27"/>
      <c r="BS180" s="27"/>
      <c r="BT180" s="27"/>
      <c r="BU180" s="27"/>
      <c r="BV180" s="27"/>
      <c r="BW180" s="27"/>
      <c r="BX180" s="276"/>
      <c r="BY180" s="284"/>
      <c r="BZ180" s="276"/>
      <c r="CA180" s="276"/>
      <c r="CB180" s="276"/>
      <c r="CC180" s="276"/>
      <c r="CD180" s="276"/>
      <c r="CE180" s="276"/>
      <c r="CF180" s="276"/>
      <c r="CG180" s="276"/>
      <c r="CH180" s="276"/>
      <c r="CI180" s="276"/>
      <c r="CJ180" s="276"/>
      <c r="CK180" s="276"/>
      <c r="CL180" s="276"/>
      <c r="CM180" s="276"/>
      <c r="CN180" s="276"/>
      <c r="CO180" s="276"/>
      <c r="CP180" s="276"/>
      <c r="CQ180" s="276"/>
      <c r="CR180" s="276"/>
      <c r="CS180" s="276"/>
      <c r="CT180" s="276"/>
      <c r="CU180" s="276"/>
      <c r="CV180" s="276"/>
      <c r="CW180" s="276"/>
      <c r="CX180" s="276"/>
      <c r="CY180" s="276"/>
      <c r="CZ180" s="276"/>
    </row>
    <row r="181" spans="1:104" x14ac:dyDescent="0.35">
      <c r="A181" s="27"/>
      <c r="B181" s="276"/>
      <c r="C181" s="277"/>
      <c r="D181" s="276"/>
      <c r="E181" s="276"/>
      <c r="F181" s="276"/>
      <c r="G181" s="276"/>
      <c r="H181" s="276"/>
      <c r="I181" s="276"/>
      <c r="J181" s="278"/>
      <c r="K181" s="278"/>
      <c r="L181" s="278"/>
      <c r="M181" s="278"/>
      <c r="N181" s="276"/>
      <c r="O181" s="276"/>
      <c r="P181" s="276"/>
      <c r="Q181" s="284"/>
      <c r="R181" s="27"/>
      <c r="S181" s="27"/>
      <c r="T181" s="27"/>
      <c r="U181" s="27"/>
      <c r="V181" s="27"/>
      <c r="W181" s="27"/>
      <c r="X181" s="29"/>
      <c r="Y181" s="29"/>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113"/>
      <c r="BC181" s="27"/>
      <c r="BD181" s="27"/>
      <c r="BE181" s="27"/>
      <c r="BF181" s="27"/>
      <c r="BG181" s="27"/>
      <c r="BH181" s="27"/>
      <c r="BI181" s="27"/>
      <c r="BJ181" s="27"/>
      <c r="BK181" s="27"/>
      <c r="BL181" s="27"/>
      <c r="BM181" s="27"/>
      <c r="BN181" s="27"/>
      <c r="BO181" s="27"/>
      <c r="BP181" s="87"/>
      <c r="BQ181" s="27"/>
      <c r="BR181" s="27"/>
      <c r="BS181" s="27"/>
      <c r="BT181" s="27"/>
      <c r="BU181" s="27"/>
      <c r="BV181" s="27"/>
      <c r="BW181" s="27"/>
      <c r="BX181" s="276"/>
      <c r="BY181" s="284"/>
      <c r="BZ181" s="276"/>
      <c r="CA181" s="276"/>
      <c r="CB181" s="276"/>
      <c r="CC181" s="276"/>
      <c r="CD181" s="276"/>
      <c r="CE181" s="276"/>
      <c r="CF181" s="276"/>
      <c r="CG181" s="276"/>
      <c r="CH181" s="276"/>
      <c r="CI181" s="276"/>
      <c r="CJ181" s="276"/>
      <c r="CK181" s="276"/>
      <c r="CL181" s="276"/>
      <c r="CM181" s="276"/>
      <c r="CN181" s="276"/>
      <c r="CO181" s="276"/>
      <c r="CP181" s="276"/>
      <c r="CQ181" s="276"/>
      <c r="CR181" s="276"/>
      <c r="CS181" s="276"/>
      <c r="CT181" s="276"/>
      <c r="CU181" s="276"/>
      <c r="CV181" s="276"/>
      <c r="CW181" s="276"/>
      <c r="CX181" s="276"/>
      <c r="CY181" s="276"/>
      <c r="CZ181" s="276"/>
    </row>
    <row r="182" spans="1:104" x14ac:dyDescent="0.35">
      <c r="A182" s="27"/>
      <c r="B182" s="276"/>
      <c r="C182" s="277"/>
      <c r="D182" s="276"/>
      <c r="E182" s="276"/>
      <c r="F182" s="276"/>
      <c r="G182" s="276"/>
      <c r="H182" s="276"/>
      <c r="I182" s="276"/>
      <c r="J182" s="278"/>
      <c r="K182" s="278"/>
      <c r="L182" s="278"/>
      <c r="M182" s="278"/>
      <c r="N182" s="276"/>
      <c r="O182" s="276"/>
      <c r="P182" s="276"/>
      <c r="Q182" s="284"/>
      <c r="R182" s="27"/>
      <c r="S182" s="27"/>
      <c r="T182" s="27"/>
      <c r="U182" s="27"/>
      <c r="V182" s="27"/>
      <c r="W182" s="27"/>
      <c r="X182" s="29"/>
      <c r="Y182" s="29"/>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113"/>
      <c r="BC182" s="27"/>
      <c r="BD182" s="27"/>
      <c r="BE182" s="27"/>
      <c r="BF182" s="27"/>
      <c r="BG182" s="27"/>
      <c r="BH182" s="27"/>
      <c r="BI182" s="27"/>
      <c r="BJ182" s="27"/>
      <c r="BK182" s="27"/>
      <c r="BL182" s="27"/>
      <c r="BM182" s="27"/>
      <c r="BN182" s="27"/>
      <c r="BO182" s="27"/>
      <c r="BP182" s="87"/>
      <c r="BQ182" s="27"/>
      <c r="BR182" s="27"/>
      <c r="BS182" s="27"/>
      <c r="BT182" s="27"/>
      <c r="BU182" s="27"/>
      <c r="BV182" s="27"/>
      <c r="BW182" s="27"/>
      <c r="BX182" s="276"/>
      <c r="BY182" s="284"/>
      <c r="BZ182" s="276"/>
      <c r="CA182" s="276"/>
      <c r="CB182" s="276"/>
      <c r="CC182" s="276"/>
      <c r="CD182" s="276"/>
      <c r="CE182" s="276"/>
      <c r="CF182" s="276"/>
      <c r="CG182" s="276"/>
      <c r="CH182" s="276"/>
      <c r="CI182" s="276"/>
      <c r="CJ182" s="276"/>
      <c r="CK182" s="276"/>
      <c r="CL182" s="276"/>
      <c r="CM182" s="276"/>
      <c r="CN182" s="276"/>
      <c r="CO182" s="276"/>
      <c r="CP182" s="276"/>
      <c r="CQ182" s="276"/>
      <c r="CR182" s="276"/>
      <c r="CS182" s="276"/>
      <c r="CT182" s="276"/>
      <c r="CU182" s="276"/>
      <c r="CV182" s="276"/>
      <c r="CW182" s="276"/>
      <c r="CX182" s="276"/>
      <c r="CY182" s="276"/>
      <c r="CZ182" s="276"/>
    </row>
    <row r="183" spans="1:104" x14ac:dyDescent="0.35">
      <c r="A183" s="27"/>
      <c r="B183" s="276"/>
      <c r="C183" s="277"/>
      <c r="D183" s="276"/>
      <c r="E183" s="276"/>
      <c r="F183" s="276"/>
      <c r="G183" s="276"/>
      <c r="H183" s="276"/>
      <c r="I183" s="276"/>
      <c r="J183" s="278"/>
      <c r="K183" s="278"/>
      <c r="L183" s="278"/>
      <c r="M183" s="278"/>
      <c r="N183" s="276"/>
      <c r="O183" s="276"/>
      <c r="P183" s="276"/>
      <c r="Q183" s="284"/>
      <c r="R183" s="27"/>
      <c r="S183" s="27"/>
      <c r="T183" s="27"/>
      <c r="U183" s="27"/>
      <c r="V183" s="27"/>
      <c r="W183" s="27"/>
      <c r="X183" s="29"/>
      <c r="Y183" s="29"/>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113"/>
      <c r="BC183" s="27"/>
      <c r="BD183" s="27"/>
      <c r="BE183" s="27"/>
      <c r="BF183" s="27"/>
      <c r="BG183" s="27"/>
      <c r="BH183" s="27"/>
      <c r="BI183" s="27"/>
      <c r="BJ183" s="27"/>
      <c r="BK183" s="27"/>
      <c r="BL183" s="27"/>
      <c r="BM183" s="27"/>
      <c r="BN183" s="27"/>
      <c r="BO183" s="27"/>
      <c r="BP183" s="87"/>
      <c r="BQ183" s="27"/>
      <c r="BR183" s="27"/>
      <c r="BS183" s="27"/>
      <c r="BT183" s="27"/>
      <c r="BU183" s="27"/>
      <c r="BV183" s="27"/>
      <c r="BW183" s="27"/>
      <c r="BX183" s="276"/>
      <c r="BY183" s="284"/>
      <c r="BZ183" s="276"/>
      <c r="CA183" s="276"/>
      <c r="CB183" s="276"/>
      <c r="CC183" s="276"/>
      <c r="CD183" s="276"/>
      <c r="CE183" s="276"/>
      <c r="CF183" s="276"/>
      <c r="CG183" s="276"/>
      <c r="CH183" s="276"/>
      <c r="CI183" s="276"/>
      <c r="CJ183" s="276"/>
      <c r="CK183" s="276"/>
      <c r="CL183" s="276"/>
      <c r="CM183" s="276"/>
      <c r="CN183" s="276"/>
      <c r="CO183" s="276"/>
      <c r="CP183" s="276"/>
      <c r="CQ183" s="276"/>
      <c r="CR183" s="276"/>
      <c r="CS183" s="276"/>
      <c r="CT183" s="276"/>
      <c r="CU183" s="276"/>
      <c r="CV183" s="276"/>
      <c r="CW183" s="276"/>
      <c r="CX183" s="276"/>
      <c r="CY183" s="276"/>
      <c r="CZ183" s="276"/>
    </row>
    <row r="184" spans="1:104" x14ac:dyDescent="0.35">
      <c r="A184" s="27"/>
      <c r="B184" s="276"/>
      <c r="C184" s="277"/>
      <c r="D184" s="276"/>
      <c r="E184" s="276"/>
      <c r="F184" s="276"/>
      <c r="G184" s="276"/>
      <c r="H184" s="276"/>
      <c r="I184" s="276"/>
      <c r="J184" s="278"/>
      <c r="K184" s="278"/>
      <c r="L184" s="278"/>
      <c r="M184" s="278"/>
      <c r="N184" s="276"/>
      <c r="O184" s="276"/>
      <c r="P184" s="276"/>
      <c r="Q184" s="284"/>
      <c r="R184" s="27"/>
      <c r="S184" s="27"/>
      <c r="T184" s="27"/>
      <c r="U184" s="27"/>
      <c r="V184" s="27"/>
      <c r="W184" s="27"/>
      <c r="X184" s="29"/>
      <c r="Y184" s="29"/>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113"/>
      <c r="BC184" s="27"/>
      <c r="BD184" s="27"/>
      <c r="BE184" s="27"/>
      <c r="BF184" s="27"/>
      <c r="BG184" s="27"/>
      <c r="BH184" s="27"/>
      <c r="BI184" s="27"/>
      <c r="BJ184" s="27"/>
      <c r="BK184" s="27"/>
      <c r="BL184" s="27"/>
      <c r="BM184" s="27"/>
      <c r="BN184" s="27"/>
      <c r="BO184" s="27"/>
      <c r="BP184" s="87"/>
      <c r="BQ184" s="27"/>
      <c r="BR184" s="27"/>
      <c r="BS184" s="27"/>
      <c r="BT184" s="27"/>
      <c r="BU184" s="27"/>
      <c r="BV184" s="27"/>
      <c r="BW184" s="27"/>
      <c r="BX184" s="276"/>
      <c r="BY184" s="284"/>
      <c r="BZ184" s="276"/>
      <c r="CA184" s="276"/>
      <c r="CB184" s="276"/>
      <c r="CC184" s="276"/>
      <c r="CD184" s="276"/>
      <c r="CE184" s="276"/>
      <c r="CF184" s="276"/>
      <c r="CG184" s="276"/>
      <c r="CH184" s="276"/>
      <c r="CI184" s="276"/>
      <c r="CJ184" s="276"/>
      <c r="CK184" s="276"/>
      <c r="CL184" s="276"/>
      <c r="CM184" s="276"/>
      <c r="CN184" s="276"/>
      <c r="CO184" s="276"/>
      <c r="CP184" s="276"/>
      <c r="CQ184" s="276"/>
      <c r="CR184" s="276"/>
      <c r="CS184" s="276"/>
      <c r="CT184" s="276"/>
      <c r="CU184" s="276"/>
      <c r="CV184" s="276"/>
      <c r="CW184" s="276"/>
      <c r="CX184" s="276"/>
      <c r="CY184" s="276"/>
      <c r="CZ184" s="276"/>
    </row>
    <row r="185" spans="1:104" x14ac:dyDescent="0.35">
      <c r="A185" s="27"/>
      <c r="B185" s="276"/>
      <c r="C185" s="277"/>
      <c r="D185" s="276"/>
      <c r="E185" s="276"/>
      <c r="F185" s="276"/>
      <c r="G185" s="276"/>
      <c r="H185" s="276"/>
      <c r="I185" s="276"/>
      <c r="J185" s="278"/>
      <c r="K185" s="278"/>
      <c r="L185" s="278"/>
      <c r="M185" s="278"/>
      <c r="N185" s="276"/>
      <c r="O185" s="276"/>
      <c r="P185" s="276"/>
      <c r="Q185" s="284"/>
      <c r="R185" s="27"/>
      <c r="S185" s="27"/>
      <c r="T185" s="27"/>
      <c r="U185" s="27"/>
      <c r="V185" s="27"/>
      <c r="W185" s="27"/>
      <c r="X185" s="29"/>
      <c r="Y185" s="29"/>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113"/>
      <c r="BC185" s="27"/>
      <c r="BD185" s="27"/>
      <c r="BE185" s="27"/>
      <c r="BF185" s="27"/>
      <c r="BG185" s="27"/>
      <c r="BH185" s="27"/>
      <c r="BI185" s="27"/>
      <c r="BJ185" s="27"/>
      <c r="BK185" s="27"/>
      <c r="BL185" s="27"/>
      <c r="BM185" s="27"/>
      <c r="BN185" s="27"/>
      <c r="BO185" s="27"/>
      <c r="BP185" s="87"/>
      <c r="BQ185" s="27"/>
      <c r="BR185" s="27"/>
      <c r="BS185" s="27"/>
      <c r="BT185" s="27"/>
      <c r="BU185" s="27"/>
      <c r="BV185" s="27"/>
      <c r="BW185" s="27"/>
      <c r="BX185" s="276"/>
      <c r="BY185" s="284"/>
      <c r="BZ185" s="276"/>
      <c r="CA185" s="276"/>
      <c r="CB185" s="276"/>
      <c r="CC185" s="276"/>
      <c r="CD185" s="276"/>
      <c r="CE185" s="276"/>
      <c r="CF185" s="276"/>
      <c r="CG185" s="276"/>
      <c r="CH185" s="276"/>
      <c r="CI185" s="276"/>
      <c r="CJ185" s="276"/>
      <c r="CK185" s="276"/>
      <c r="CL185" s="276"/>
      <c r="CM185" s="276"/>
      <c r="CN185" s="276"/>
      <c r="CO185" s="276"/>
      <c r="CP185" s="276"/>
      <c r="CQ185" s="276"/>
      <c r="CR185" s="276"/>
      <c r="CS185" s="276"/>
      <c r="CT185" s="276"/>
      <c r="CU185" s="276"/>
      <c r="CV185" s="276"/>
      <c r="CW185" s="276"/>
      <c r="CX185" s="276"/>
      <c r="CY185" s="276"/>
      <c r="CZ185" s="276"/>
    </row>
    <row r="186" spans="1:104" x14ac:dyDescent="0.35">
      <c r="A186" s="27"/>
      <c r="B186" s="276"/>
      <c r="C186" s="277"/>
      <c r="D186" s="276"/>
      <c r="E186" s="276"/>
      <c r="F186" s="276"/>
      <c r="G186" s="276"/>
      <c r="H186" s="276"/>
      <c r="I186" s="276"/>
      <c r="J186" s="278"/>
      <c r="K186" s="278"/>
      <c r="L186" s="278"/>
      <c r="M186" s="278"/>
      <c r="N186" s="276"/>
      <c r="O186" s="276"/>
      <c r="P186" s="276"/>
      <c r="Q186" s="284"/>
      <c r="R186" s="27"/>
      <c r="S186" s="27"/>
      <c r="T186" s="27"/>
      <c r="U186" s="27"/>
      <c r="V186" s="27"/>
      <c r="W186" s="27"/>
      <c r="X186" s="29"/>
      <c r="Y186" s="29"/>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113"/>
      <c r="BC186" s="27"/>
      <c r="BD186" s="27"/>
      <c r="BE186" s="27"/>
      <c r="BF186" s="27"/>
      <c r="BG186" s="27"/>
      <c r="BH186" s="27"/>
      <c r="BI186" s="27"/>
      <c r="BJ186" s="27"/>
      <c r="BK186" s="27"/>
      <c r="BL186" s="27"/>
      <c r="BM186" s="27"/>
      <c r="BN186" s="27"/>
      <c r="BO186" s="27"/>
      <c r="BP186" s="87"/>
      <c r="BQ186" s="27"/>
      <c r="BR186" s="27"/>
      <c r="BS186" s="27"/>
      <c r="BT186" s="27"/>
      <c r="BU186" s="27"/>
      <c r="BV186" s="27"/>
      <c r="BW186" s="27"/>
      <c r="BX186" s="276"/>
      <c r="BY186" s="284"/>
      <c r="BZ186" s="276"/>
      <c r="CA186" s="276"/>
      <c r="CB186" s="276"/>
      <c r="CC186" s="276"/>
      <c r="CD186" s="276"/>
      <c r="CE186" s="276"/>
      <c r="CF186" s="276"/>
      <c r="CG186" s="276"/>
      <c r="CH186" s="276"/>
      <c r="CI186" s="276"/>
      <c r="CJ186" s="276"/>
      <c r="CK186" s="276"/>
      <c r="CL186" s="276"/>
      <c r="CM186" s="276"/>
      <c r="CN186" s="276"/>
      <c r="CO186" s="276"/>
      <c r="CP186" s="276"/>
      <c r="CQ186" s="276"/>
      <c r="CR186" s="276"/>
      <c r="CS186" s="276"/>
      <c r="CT186" s="276"/>
      <c r="CU186" s="276"/>
      <c r="CV186" s="276"/>
      <c r="CW186" s="276"/>
      <c r="CX186" s="276"/>
      <c r="CY186" s="276"/>
      <c r="CZ186" s="276"/>
    </row>
    <row r="187" spans="1:104" x14ac:dyDescent="0.35">
      <c r="A187" s="27"/>
      <c r="B187" s="276"/>
      <c r="C187" s="277"/>
      <c r="D187" s="276"/>
      <c r="E187" s="276"/>
      <c r="F187" s="276"/>
      <c r="G187" s="276"/>
      <c r="H187" s="276"/>
      <c r="I187" s="276"/>
      <c r="J187" s="278"/>
      <c r="K187" s="278"/>
      <c r="L187" s="278"/>
      <c r="M187" s="278"/>
      <c r="N187" s="276"/>
      <c r="O187" s="276"/>
      <c r="P187" s="276"/>
      <c r="Q187" s="284"/>
      <c r="R187" s="27"/>
      <c r="S187" s="27"/>
      <c r="T187" s="27"/>
      <c r="U187" s="27"/>
      <c r="V187" s="27"/>
      <c r="W187" s="27"/>
      <c r="X187" s="29"/>
      <c r="Y187" s="29"/>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113"/>
      <c r="BC187" s="27"/>
      <c r="BD187" s="27"/>
      <c r="BE187" s="27"/>
      <c r="BF187" s="27"/>
      <c r="BG187" s="27"/>
      <c r="BH187" s="27"/>
      <c r="BI187" s="27"/>
      <c r="BJ187" s="27"/>
      <c r="BK187" s="27"/>
      <c r="BL187" s="27"/>
      <c r="BM187" s="27"/>
      <c r="BN187" s="27"/>
      <c r="BO187" s="27"/>
      <c r="BP187" s="87"/>
      <c r="BQ187" s="27"/>
      <c r="BR187" s="27"/>
      <c r="BS187" s="27"/>
      <c r="BT187" s="27"/>
      <c r="BU187" s="27"/>
      <c r="BV187" s="27"/>
      <c r="BW187" s="27"/>
      <c r="BX187" s="276"/>
      <c r="BY187" s="284"/>
      <c r="BZ187" s="276"/>
      <c r="CA187" s="276"/>
      <c r="CB187" s="276"/>
      <c r="CC187" s="276"/>
      <c r="CD187" s="276"/>
      <c r="CE187" s="276"/>
      <c r="CF187" s="276"/>
      <c r="CG187" s="276"/>
      <c r="CH187" s="276"/>
      <c r="CI187" s="276"/>
      <c r="CJ187" s="276"/>
      <c r="CK187" s="276"/>
      <c r="CL187" s="276"/>
      <c r="CM187" s="276"/>
      <c r="CN187" s="276"/>
      <c r="CO187" s="276"/>
      <c r="CP187" s="276"/>
      <c r="CQ187" s="276"/>
      <c r="CR187" s="276"/>
      <c r="CS187" s="276"/>
      <c r="CT187" s="276"/>
      <c r="CU187" s="276"/>
      <c r="CV187" s="276"/>
      <c r="CW187" s="276"/>
      <c r="CX187" s="276"/>
      <c r="CY187" s="276"/>
      <c r="CZ187" s="276"/>
    </row>
    <row r="188" spans="1:104" x14ac:dyDescent="0.35">
      <c r="A188" s="27"/>
      <c r="B188" s="276"/>
      <c r="C188" s="277"/>
      <c r="D188" s="276"/>
      <c r="E188" s="276"/>
      <c r="F188" s="276"/>
      <c r="G188" s="276"/>
      <c r="H188" s="276"/>
      <c r="I188" s="276"/>
      <c r="J188" s="278"/>
      <c r="K188" s="278"/>
      <c r="L188" s="278"/>
      <c r="M188" s="278"/>
      <c r="N188" s="276"/>
      <c r="O188" s="276"/>
      <c r="P188" s="276"/>
      <c r="Q188" s="284"/>
      <c r="R188" s="27"/>
      <c r="S188" s="27"/>
      <c r="T188" s="27"/>
      <c r="U188" s="27"/>
      <c r="V188" s="27"/>
      <c r="W188" s="27"/>
      <c r="X188" s="29"/>
      <c r="Y188" s="29"/>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113"/>
      <c r="BC188" s="27"/>
      <c r="BD188" s="27"/>
      <c r="BE188" s="27"/>
      <c r="BF188" s="27"/>
      <c r="BG188" s="27"/>
      <c r="BH188" s="27"/>
      <c r="BI188" s="27"/>
      <c r="BJ188" s="27"/>
      <c r="BK188" s="27"/>
      <c r="BL188" s="27"/>
      <c r="BM188" s="27"/>
      <c r="BN188" s="27"/>
      <c r="BO188" s="27"/>
      <c r="BP188" s="87"/>
      <c r="BQ188" s="27"/>
      <c r="BR188" s="27"/>
      <c r="BS188" s="27"/>
      <c r="BT188" s="27"/>
      <c r="BU188" s="27"/>
      <c r="BV188" s="27"/>
      <c r="BW188" s="27"/>
      <c r="BX188" s="276"/>
      <c r="BY188" s="284"/>
      <c r="BZ188" s="276"/>
      <c r="CA188" s="276"/>
      <c r="CB188" s="276"/>
      <c r="CC188" s="276"/>
      <c r="CD188" s="276"/>
      <c r="CE188" s="276"/>
      <c r="CF188" s="276"/>
      <c r="CG188" s="276"/>
      <c r="CH188" s="276"/>
      <c r="CI188" s="276"/>
      <c r="CJ188" s="276"/>
      <c r="CK188" s="276"/>
      <c r="CL188" s="276"/>
      <c r="CM188" s="276"/>
      <c r="CN188" s="276"/>
      <c r="CO188" s="276"/>
      <c r="CP188" s="276"/>
      <c r="CQ188" s="276"/>
      <c r="CR188" s="276"/>
      <c r="CS188" s="276"/>
      <c r="CT188" s="276"/>
      <c r="CU188" s="276"/>
      <c r="CV188" s="276"/>
      <c r="CW188" s="276"/>
      <c r="CX188" s="276"/>
      <c r="CY188" s="276"/>
      <c r="CZ188" s="276"/>
    </row>
    <row r="189" spans="1:104" x14ac:dyDescent="0.35">
      <c r="A189" s="27"/>
      <c r="B189" s="276"/>
      <c r="C189" s="277"/>
      <c r="D189" s="276"/>
      <c r="E189" s="276"/>
      <c r="F189" s="276"/>
      <c r="G189" s="276"/>
      <c r="H189" s="276"/>
      <c r="I189" s="276"/>
      <c r="J189" s="278"/>
      <c r="K189" s="278"/>
      <c r="L189" s="278"/>
      <c r="M189" s="278"/>
      <c r="N189" s="276"/>
      <c r="O189" s="276"/>
      <c r="P189" s="276"/>
      <c r="Q189" s="284"/>
      <c r="R189" s="27"/>
      <c r="S189" s="27"/>
      <c r="T189" s="27"/>
      <c r="U189" s="27"/>
      <c r="V189" s="27"/>
      <c r="W189" s="27"/>
      <c r="X189" s="29"/>
      <c r="Y189" s="29"/>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113"/>
      <c r="BC189" s="27"/>
      <c r="BD189" s="27"/>
      <c r="BE189" s="27"/>
      <c r="BF189" s="27"/>
      <c r="BG189" s="27"/>
      <c r="BH189" s="27"/>
      <c r="BI189" s="27"/>
      <c r="BJ189" s="27"/>
      <c r="BK189" s="27"/>
      <c r="BL189" s="27"/>
      <c r="BM189" s="27"/>
      <c r="BN189" s="27"/>
      <c r="BO189" s="27"/>
      <c r="BP189" s="87"/>
      <c r="BQ189" s="27"/>
      <c r="BR189" s="27"/>
      <c r="BS189" s="27"/>
      <c r="BT189" s="27"/>
      <c r="BU189" s="27"/>
      <c r="BV189" s="27"/>
      <c r="BW189" s="27"/>
      <c r="BX189" s="276"/>
      <c r="BY189" s="284"/>
      <c r="BZ189" s="276"/>
      <c r="CA189" s="276"/>
      <c r="CB189" s="276"/>
      <c r="CC189" s="276"/>
      <c r="CD189" s="276"/>
      <c r="CE189" s="276"/>
      <c r="CF189" s="276"/>
      <c r="CG189" s="276"/>
      <c r="CH189" s="276"/>
      <c r="CI189" s="276"/>
      <c r="CJ189" s="276"/>
      <c r="CK189" s="276"/>
      <c r="CL189" s="276"/>
      <c r="CM189" s="276"/>
      <c r="CN189" s="276"/>
      <c r="CO189" s="276"/>
      <c r="CP189" s="276"/>
      <c r="CQ189" s="276"/>
      <c r="CR189" s="276"/>
      <c r="CS189" s="276"/>
      <c r="CT189" s="276"/>
      <c r="CU189" s="276"/>
      <c r="CV189" s="276"/>
      <c r="CW189" s="276"/>
      <c r="CX189" s="276"/>
      <c r="CY189" s="276"/>
      <c r="CZ189" s="276"/>
    </row>
    <row r="190" spans="1:104" x14ac:dyDescent="0.35">
      <c r="A190" s="27"/>
      <c r="B190" s="276"/>
      <c r="C190" s="277"/>
      <c r="D190" s="276"/>
      <c r="E190" s="276"/>
      <c r="F190" s="276"/>
      <c r="G190" s="276"/>
      <c r="H190" s="276"/>
      <c r="I190" s="276"/>
      <c r="J190" s="278"/>
      <c r="K190" s="278"/>
      <c r="L190" s="278"/>
      <c r="M190" s="278"/>
      <c r="N190" s="276"/>
      <c r="O190" s="276"/>
      <c r="P190" s="276"/>
      <c r="Q190" s="284"/>
      <c r="R190" s="27"/>
      <c r="S190" s="27"/>
      <c r="T190" s="27"/>
      <c r="U190" s="27"/>
      <c r="V190" s="27"/>
      <c r="W190" s="27"/>
      <c r="X190" s="29"/>
      <c r="Y190" s="29"/>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113"/>
      <c r="BC190" s="27"/>
      <c r="BD190" s="27"/>
      <c r="BE190" s="27"/>
      <c r="BF190" s="27"/>
      <c r="BG190" s="27"/>
      <c r="BH190" s="27"/>
      <c r="BI190" s="27"/>
      <c r="BJ190" s="27"/>
      <c r="BK190" s="27"/>
      <c r="BL190" s="27"/>
      <c r="BM190" s="27"/>
      <c r="BN190" s="27"/>
      <c r="BO190" s="27"/>
      <c r="BP190" s="87"/>
      <c r="BQ190" s="27"/>
      <c r="BR190" s="27"/>
      <c r="BS190" s="27"/>
      <c r="BT190" s="27"/>
      <c r="BU190" s="27"/>
      <c r="BV190" s="27"/>
      <c r="BW190" s="27"/>
      <c r="BX190" s="276"/>
      <c r="BY190" s="284"/>
      <c r="BZ190" s="276"/>
      <c r="CA190" s="276"/>
      <c r="CB190" s="276"/>
      <c r="CC190" s="276"/>
      <c r="CD190" s="276"/>
      <c r="CE190" s="276"/>
      <c r="CF190" s="276"/>
      <c r="CG190" s="276"/>
      <c r="CH190" s="276"/>
      <c r="CI190" s="276"/>
      <c r="CJ190" s="276"/>
      <c r="CK190" s="276"/>
      <c r="CL190" s="276"/>
      <c r="CM190" s="276"/>
      <c r="CN190" s="276"/>
      <c r="CO190" s="276"/>
      <c r="CP190" s="276"/>
      <c r="CQ190" s="276"/>
      <c r="CR190" s="276"/>
      <c r="CS190" s="276"/>
      <c r="CT190" s="276"/>
      <c r="CU190" s="276"/>
      <c r="CV190" s="276"/>
      <c r="CW190" s="276"/>
      <c r="CX190" s="276"/>
      <c r="CY190" s="276"/>
      <c r="CZ190" s="276"/>
    </row>
    <row r="191" spans="1:104" x14ac:dyDescent="0.35">
      <c r="A191" s="27"/>
      <c r="B191" s="276"/>
      <c r="C191" s="277"/>
      <c r="D191" s="276"/>
      <c r="E191" s="276"/>
      <c r="F191" s="276"/>
      <c r="G191" s="276"/>
      <c r="H191" s="276"/>
      <c r="I191" s="276"/>
      <c r="J191" s="278"/>
      <c r="K191" s="278"/>
      <c r="L191" s="278"/>
      <c r="M191" s="278"/>
      <c r="N191" s="276"/>
      <c r="O191" s="276"/>
      <c r="P191" s="276"/>
      <c r="Q191" s="284"/>
      <c r="R191" s="27"/>
      <c r="S191" s="27"/>
      <c r="T191" s="27"/>
      <c r="U191" s="27"/>
      <c r="V191" s="27"/>
      <c r="W191" s="27"/>
      <c r="X191" s="29"/>
      <c r="Y191" s="29"/>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113"/>
      <c r="BC191" s="27"/>
      <c r="BD191" s="27"/>
      <c r="BE191" s="27"/>
      <c r="BF191" s="27"/>
      <c r="BG191" s="27"/>
      <c r="BH191" s="27"/>
      <c r="BI191" s="27"/>
      <c r="BJ191" s="27"/>
      <c r="BK191" s="27"/>
      <c r="BL191" s="27"/>
      <c r="BM191" s="27"/>
      <c r="BN191" s="27"/>
      <c r="BO191" s="27"/>
      <c r="BP191" s="87"/>
      <c r="BQ191" s="27"/>
      <c r="BR191" s="27"/>
      <c r="BS191" s="27"/>
      <c r="BT191" s="27"/>
      <c r="BU191" s="27"/>
      <c r="BV191" s="27"/>
      <c r="BW191" s="27"/>
      <c r="BX191" s="276"/>
      <c r="BY191" s="284"/>
      <c r="BZ191" s="276"/>
      <c r="CA191" s="276"/>
      <c r="CB191" s="276"/>
      <c r="CC191" s="276"/>
      <c r="CD191" s="276"/>
      <c r="CE191" s="276"/>
      <c r="CF191" s="276"/>
      <c r="CG191" s="276"/>
      <c r="CH191" s="276"/>
      <c r="CI191" s="276"/>
      <c r="CJ191" s="276"/>
      <c r="CK191" s="276"/>
      <c r="CL191" s="276"/>
      <c r="CM191" s="276"/>
      <c r="CN191" s="276"/>
      <c r="CO191" s="276"/>
      <c r="CP191" s="276"/>
      <c r="CQ191" s="276"/>
      <c r="CR191" s="276"/>
      <c r="CS191" s="276"/>
      <c r="CT191" s="276"/>
      <c r="CU191" s="276"/>
      <c r="CV191" s="276"/>
      <c r="CW191" s="276"/>
      <c r="CX191" s="276"/>
      <c r="CY191" s="276"/>
      <c r="CZ191" s="276"/>
    </row>
    <row r="192" spans="1:104" x14ac:dyDescent="0.35">
      <c r="A192" s="27"/>
      <c r="B192" s="276"/>
      <c r="C192" s="277"/>
      <c r="D192" s="276"/>
      <c r="E192" s="276"/>
      <c r="F192" s="276"/>
      <c r="G192" s="276"/>
      <c r="H192" s="276"/>
      <c r="I192" s="276"/>
      <c r="J192" s="278"/>
      <c r="K192" s="278"/>
      <c r="L192" s="278"/>
      <c r="M192" s="278"/>
      <c r="N192" s="276"/>
      <c r="O192" s="276"/>
      <c r="P192" s="276"/>
      <c r="Q192" s="284"/>
      <c r="R192" s="27"/>
      <c r="S192" s="27"/>
      <c r="T192" s="27"/>
      <c r="U192" s="27"/>
      <c r="V192" s="27"/>
      <c r="W192" s="27"/>
      <c r="X192" s="29"/>
      <c r="Y192" s="29"/>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113"/>
      <c r="BC192" s="27"/>
      <c r="BD192" s="27"/>
      <c r="BE192" s="27"/>
      <c r="BF192" s="27"/>
      <c r="BG192" s="27"/>
      <c r="BH192" s="27"/>
      <c r="BI192" s="27"/>
      <c r="BJ192" s="27"/>
      <c r="BK192" s="27"/>
      <c r="BL192" s="27"/>
      <c r="BM192" s="27"/>
      <c r="BN192" s="27"/>
      <c r="BO192" s="27"/>
      <c r="BP192" s="87"/>
      <c r="BQ192" s="27"/>
      <c r="BR192" s="27"/>
      <c r="BS192" s="27"/>
      <c r="BT192" s="27"/>
      <c r="BU192" s="27"/>
      <c r="BV192" s="27"/>
      <c r="BW192" s="27"/>
      <c r="BX192" s="276"/>
      <c r="BY192" s="284"/>
      <c r="BZ192" s="276"/>
      <c r="CA192" s="276"/>
      <c r="CB192" s="276"/>
      <c r="CC192" s="276"/>
      <c r="CD192" s="276"/>
      <c r="CE192" s="276"/>
      <c r="CF192" s="276"/>
      <c r="CG192" s="276"/>
      <c r="CH192" s="276"/>
      <c r="CI192" s="276"/>
      <c r="CJ192" s="276"/>
      <c r="CK192" s="276"/>
      <c r="CL192" s="276"/>
      <c r="CM192" s="276"/>
      <c r="CN192" s="276"/>
      <c r="CO192" s="276"/>
      <c r="CP192" s="276"/>
      <c r="CQ192" s="276"/>
      <c r="CR192" s="276"/>
      <c r="CS192" s="276"/>
      <c r="CT192" s="276"/>
      <c r="CU192" s="276"/>
      <c r="CV192" s="276"/>
      <c r="CW192" s="276"/>
      <c r="CX192" s="276"/>
      <c r="CY192" s="276"/>
      <c r="CZ192" s="276"/>
    </row>
    <row r="193" spans="1:104" x14ac:dyDescent="0.35">
      <c r="A193" s="27"/>
      <c r="B193" s="276"/>
      <c r="C193" s="277"/>
      <c r="D193" s="276"/>
      <c r="E193" s="276"/>
      <c r="F193" s="276"/>
      <c r="G193" s="276"/>
      <c r="H193" s="276"/>
      <c r="I193" s="276"/>
      <c r="J193" s="278"/>
      <c r="K193" s="278"/>
      <c r="L193" s="278"/>
      <c r="M193" s="278"/>
      <c r="N193" s="276"/>
      <c r="O193" s="276"/>
      <c r="P193" s="276"/>
      <c r="Q193" s="284"/>
      <c r="R193" s="27"/>
      <c r="S193" s="27"/>
      <c r="T193" s="27"/>
      <c r="U193" s="27"/>
      <c r="V193" s="27"/>
      <c r="W193" s="27"/>
      <c r="X193" s="29"/>
      <c r="Y193" s="29"/>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113"/>
      <c r="BC193" s="27"/>
      <c r="BD193" s="27"/>
      <c r="BE193" s="27"/>
      <c r="BF193" s="27"/>
      <c r="BG193" s="27"/>
      <c r="BH193" s="27"/>
      <c r="BI193" s="27"/>
      <c r="BJ193" s="27"/>
      <c r="BK193" s="27"/>
      <c r="BL193" s="27"/>
      <c r="BM193" s="27"/>
      <c r="BN193" s="27"/>
      <c r="BO193" s="27"/>
      <c r="BP193" s="87"/>
      <c r="BQ193" s="27"/>
      <c r="BR193" s="27"/>
      <c r="BS193" s="27"/>
      <c r="BT193" s="27"/>
      <c r="BU193" s="27"/>
      <c r="BV193" s="27"/>
      <c r="BW193" s="27"/>
      <c r="BX193" s="276"/>
      <c r="BY193" s="284"/>
      <c r="BZ193" s="276"/>
      <c r="CA193" s="276"/>
      <c r="CB193" s="276"/>
      <c r="CC193" s="276"/>
      <c r="CD193" s="276"/>
      <c r="CE193" s="276"/>
      <c r="CF193" s="276"/>
      <c r="CG193" s="276"/>
      <c r="CH193" s="276"/>
      <c r="CI193" s="276"/>
      <c r="CJ193" s="276"/>
      <c r="CK193" s="276"/>
      <c r="CL193" s="276"/>
      <c r="CM193" s="276"/>
      <c r="CN193" s="276"/>
      <c r="CO193" s="276"/>
      <c r="CP193" s="276"/>
      <c r="CQ193" s="276"/>
      <c r="CR193" s="276"/>
      <c r="CS193" s="276"/>
      <c r="CT193" s="276"/>
      <c r="CU193" s="276"/>
      <c r="CV193" s="276"/>
      <c r="CW193" s="276"/>
      <c r="CX193" s="276"/>
      <c r="CY193" s="276"/>
      <c r="CZ193" s="276"/>
    </row>
    <row r="194" spans="1:104" x14ac:dyDescent="0.35">
      <c r="A194" s="27"/>
      <c r="B194" s="276"/>
      <c r="C194" s="277"/>
      <c r="D194" s="276"/>
      <c r="E194" s="276"/>
      <c r="F194" s="276"/>
      <c r="G194" s="276"/>
      <c r="H194" s="276"/>
      <c r="I194" s="276"/>
      <c r="J194" s="278"/>
      <c r="K194" s="278"/>
      <c r="L194" s="278"/>
      <c r="M194" s="278"/>
      <c r="N194" s="276"/>
      <c r="O194" s="276"/>
      <c r="P194" s="276"/>
      <c r="Q194" s="284"/>
      <c r="R194" s="27"/>
      <c r="S194" s="27"/>
      <c r="T194" s="27"/>
      <c r="U194" s="27"/>
      <c r="V194" s="27"/>
      <c r="W194" s="27"/>
      <c r="X194" s="29"/>
      <c r="Y194" s="29"/>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113"/>
      <c r="BC194" s="27"/>
      <c r="BD194" s="27"/>
      <c r="BE194" s="27"/>
      <c r="BF194" s="27"/>
      <c r="BG194" s="27"/>
      <c r="BH194" s="27"/>
      <c r="BI194" s="27"/>
      <c r="BJ194" s="27"/>
      <c r="BK194" s="27"/>
      <c r="BL194" s="27"/>
      <c r="BM194" s="27"/>
      <c r="BN194" s="27"/>
      <c r="BO194" s="27"/>
      <c r="BP194" s="87"/>
      <c r="BQ194" s="27"/>
      <c r="BR194" s="27"/>
      <c r="BS194" s="27"/>
      <c r="BT194" s="27"/>
      <c r="BU194" s="27"/>
      <c r="BV194" s="27"/>
      <c r="BW194" s="27"/>
      <c r="BX194" s="276"/>
      <c r="BY194" s="284"/>
      <c r="BZ194" s="276"/>
      <c r="CA194" s="276"/>
      <c r="CB194" s="276"/>
      <c r="CC194" s="276"/>
      <c r="CD194" s="276"/>
      <c r="CE194" s="276"/>
      <c r="CF194" s="276"/>
      <c r="CG194" s="276"/>
      <c r="CH194" s="276"/>
      <c r="CI194" s="276"/>
      <c r="CJ194" s="276"/>
      <c r="CK194" s="276"/>
      <c r="CL194" s="276"/>
      <c r="CM194" s="276"/>
      <c r="CN194" s="276"/>
      <c r="CO194" s="276"/>
      <c r="CP194" s="276"/>
      <c r="CQ194" s="276"/>
      <c r="CR194" s="276"/>
      <c r="CS194" s="276"/>
      <c r="CT194" s="276"/>
      <c r="CU194" s="276"/>
      <c r="CV194" s="276"/>
      <c r="CW194" s="276"/>
      <c r="CX194" s="276"/>
      <c r="CY194" s="276"/>
      <c r="CZ194" s="276"/>
    </row>
    <row r="195" spans="1:104" x14ac:dyDescent="0.35">
      <c r="A195" s="27"/>
      <c r="B195" s="276"/>
      <c r="C195" s="277"/>
      <c r="D195" s="276"/>
      <c r="E195" s="276"/>
      <c r="F195" s="276"/>
      <c r="G195" s="276"/>
      <c r="H195" s="276"/>
      <c r="I195" s="276"/>
      <c r="J195" s="278"/>
      <c r="K195" s="278"/>
      <c r="L195" s="278"/>
      <c r="M195" s="278"/>
      <c r="N195" s="276"/>
      <c r="O195" s="276"/>
      <c r="P195" s="276"/>
      <c r="Q195" s="284"/>
      <c r="R195" s="27"/>
      <c r="S195" s="27"/>
      <c r="T195" s="27"/>
      <c r="U195" s="27"/>
      <c r="V195" s="27"/>
      <c r="W195" s="27"/>
      <c r="X195" s="29"/>
      <c r="Y195" s="29"/>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113"/>
      <c r="BC195" s="27"/>
      <c r="BD195" s="27"/>
      <c r="BE195" s="27"/>
      <c r="BF195" s="27"/>
      <c r="BG195" s="27"/>
      <c r="BH195" s="27"/>
      <c r="BI195" s="27"/>
      <c r="BJ195" s="27"/>
      <c r="BK195" s="27"/>
      <c r="BL195" s="27"/>
      <c r="BM195" s="27"/>
      <c r="BN195" s="27"/>
      <c r="BO195" s="27"/>
      <c r="BP195" s="87"/>
      <c r="BQ195" s="27"/>
      <c r="BR195" s="27"/>
      <c r="BS195" s="27"/>
      <c r="BT195" s="27"/>
      <c r="BU195" s="27"/>
      <c r="BV195" s="27"/>
      <c r="BW195" s="27"/>
      <c r="BX195" s="276"/>
      <c r="BY195" s="284"/>
      <c r="BZ195" s="276"/>
      <c r="CA195" s="276"/>
      <c r="CB195" s="276"/>
      <c r="CC195" s="276"/>
      <c r="CD195" s="276"/>
      <c r="CE195" s="276"/>
      <c r="CF195" s="276"/>
      <c r="CG195" s="276"/>
      <c r="CH195" s="276"/>
      <c r="CI195" s="276"/>
      <c r="CJ195" s="276"/>
      <c r="CK195" s="276"/>
      <c r="CL195" s="276"/>
      <c r="CM195" s="276"/>
      <c r="CN195" s="276"/>
      <c r="CO195" s="276"/>
      <c r="CP195" s="276"/>
      <c r="CQ195" s="276"/>
      <c r="CR195" s="276"/>
      <c r="CS195" s="276"/>
      <c r="CT195" s="276"/>
      <c r="CU195" s="276"/>
      <c r="CV195" s="276"/>
      <c r="CW195" s="276"/>
      <c r="CX195" s="276"/>
      <c r="CY195" s="276"/>
      <c r="CZ195" s="276"/>
    </row>
    <row r="196" spans="1:104" x14ac:dyDescent="0.35">
      <c r="A196" s="27"/>
      <c r="B196" s="276"/>
      <c r="C196" s="277"/>
      <c r="D196" s="276"/>
      <c r="E196" s="276"/>
      <c r="F196" s="276"/>
      <c r="G196" s="276"/>
      <c r="H196" s="276"/>
      <c r="I196" s="276"/>
      <c r="J196" s="278"/>
      <c r="K196" s="278"/>
      <c r="L196" s="278"/>
      <c r="M196" s="278"/>
      <c r="N196" s="276"/>
      <c r="O196" s="276"/>
      <c r="P196" s="276"/>
      <c r="Q196" s="284"/>
      <c r="R196" s="27"/>
      <c r="S196" s="27"/>
      <c r="T196" s="27"/>
      <c r="U196" s="27"/>
      <c r="V196" s="27"/>
      <c r="W196" s="27"/>
      <c r="X196" s="29"/>
      <c r="Y196" s="29"/>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113"/>
      <c r="BC196" s="27"/>
      <c r="BD196" s="27"/>
      <c r="BE196" s="27"/>
      <c r="BF196" s="27"/>
      <c r="BG196" s="27"/>
      <c r="BH196" s="27"/>
      <c r="BI196" s="27"/>
      <c r="BJ196" s="27"/>
      <c r="BK196" s="27"/>
      <c r="BL196" s="27"/>
      <c r="BM196" s="27"/>
      <c r="BN196" s="27"/>
      <c r="BO196" s="27"/>
      <c r="BP196" s="87"/>
      <c r="BQ196" s="27"/>
      <c r="BR196" s="27"/>
      <c r="BS196" s="27"/>
      <c r="BT196" s="27"/>
      <c r="BU196" s="27"/>
      <c r="BV196" s="27"/>
      <c r="BW196" s="27"/>
      <c r="BX196" s="276"/>
      <c r="BY196" s="284"/>
      <c r="BZ196" s="276"/>
      <c r="CA196" s="276"/>
      <c r="CB196" s="276"/>
      <c r="CC196" s="276"/>
      <c r="CD196" s="276"/>
      <c r="CE196" s="276"/>
      <c r="CF196" s="276"/>
      <c r="CG196" s="276"/>
      <c r="CH196" s="276"/>
      <c r="CI196" s="276"/>
      <c r="CJ196" s="276"/>
      <c r="CK196" s="276"/>
      <c r="CL196" s="276"/>
      <c r="CM196" s="276"/>
      <c r="CN196" s="276"/>
      <c r="CO196" s="276"/>
      <c r="CP196" s="276"/>
      <c r="CQ196" s="276"/>
      <c r="CR196" s="276"/>
      <c r="CS196" s="276"/>
      <c r="CT196" s="276"/>
      <c r="CU196" s="276"/>
      <c r="CV196" s="276"/>
      <c r="CW196" s="276"/>
      <c r="CX196" s="276"/>
      <c r="CY196" s="276"/>
      <c r="CZ196" s="276"/>
    </row>
    <row r="197" spans="1:104" x14ac:dyDescent="0.35">
      <c r="A197" s="27"/>
      <c r="B197" s="276"/>
      <c r="C197" s="277"/>
      <c r="D197" s="276"/>
      <c r="E197" s="276"/>
      <c r="F197" s="276"/>
      <c r="G197" s="276"/>
      <c r="H197" s="276"/>
      <c r="I197" s="276"/>
      <c r="J197" s="278"/>
      <c r="K197" s="278"/>
      <c r="L197" s="278"/>
      <c r="M197" s="278"/>
      <c r="N197" s="276"/>
      <c r="O197" s="276"/>
      <c r="P197" s="276"/>
      <c r="Q197" s="284"/>
      <c r="R197" s="27"/>
      <c r="S197" s="27"/>
      <c r="T197" s="27"/>
      <c r="U197" s="27"/>
      <c r="V197" s="27"/>
      <c r="W197" s="27"/>
      <c r="X197" s="29"/>
      <c r="Y197" s="29"/>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113"/>
      <c r="BC197" s="27"/>
      <c r="BD197" s="27"/>
      <c r="BE197" s="27"/>
      <c r="BF197" s="27"/>
      <c r="BG197" s="27"/>
      <c r="BH197" s="27"/>
      <c r="BI197" s="27"/>
      <c r="BJ197" s="27"/>
      <c r="BK197" s="27"/>
      <c r="BL197" s="27"/>
      <c r="BM197" s="27"/>
      <c r="BN197" s="27"/>
      <c r="BO197" s="27"/>
      <c r="BP197" s="87"/>
      <c r="BQ197" s="27"/>
      <c r="BR197" s="27"/>
      <c r="BS197" s="27"/>
      <c r="BT197" s="27"/>
      <c r="BU197" s="27"/>
      <c r="BV197" s="27"/>
      <c r="BW197" s="27"/>
      <c r="BX197" s="276"/>
      <c r="BY197" s="284"/>
      <c r="BZ197" s="276"/>
      <c r="CA197" s="276"/>
      <c r="CB197" s="276"/>
      <c r="CC197" s="276"/>
      <c r="CD197" s="276"/>
      <c r="CE197" s="276"/>
      <c r="CF197" s="276"/>
      <c r="CG197" s="276"/>
      <c r="CH197" s="276"/>
      <c r="CI197" s="276"/>
      <c r="CJ197" s="276"/>
      <c r="CK197" s="276"/>
      <c r="CL197" s="276"/>
      <c r="CM197" s="276"/>
      <c r="CN197" s="276"/>
      <c r="CO197" s="276"/>
      <c r="CP197" s="276"/>
      <c r="CQ197" s="276"/>
      <c r="CR197" s="276"/>
      <c r="CS197" s="276"/>
      <c r="CT197" s="276"/>
      <c r="CU197" s="276"/>
      <c r="CV197" s="276"/>
      <c r="CW197" s="276"/>
      <c r="CX197" s="276"/>
      <c r="CY197" s="276"/>
      <c r="CZ197" s="276"/>
    </row>
    <row r="198" spans="1:104" x14ac:dyDescent="0.35">
      <c r="A198" s="27"/>
      <c r="B198" s="276"/>
      <c r="C198" s="277"/>
      <c r="D198" s="276"/>
      <c r="E198" s="276"/>
      <c r="F198" s="276"/>
      <c r="G198" s="276"/>
      <c r="H198" s="276"/>
      <c r="I198" s="276"/>
      <c r="J198" s="278"/>
      <c r="K198" s="278"/>
      <c r="L198" s="278"/>
      <c r="M198" s="278"/>
      <c r="N198" s="276"/>
      <c r="O198" s="276"/>
      <c r="P198" s="276"/>
      <c r="Q198" s="284"/>
      <c r="R198" s="27"/>
      <c r="S198" s="27"/>
      <c r="T198" s="27"/>
      <c r="U198" s="27"/>
      <c r="V198" s="27"/>
      <c r="W198" s="27"/>
      <c r="X198" s="29"/>
      <c r="Y198" s="29"/>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113"/>
      <c r="BC198" s="27"/>
      <c r="BD198" s="27"/>
      <c r="BE198" s="27"/>
      <c r="BF198" s="27"/>
      <c r="BG198" s="27"/>
      <c r="BH198" s="27"/>
      <c r="BI198" s="27"/>
      <c r="BJ198" s="27"/>
      <c r="BK198" s="27"/>
      <c r="BL198" s="27"/>
      <c r="BM198" s="27"/>
      <c r="BN198" s="27"/>
      <c r="BO198" s="27"/>
      <c r="BP198" s="87"/>
      <c r="BQ198" s="27"/>
      <c r="BR198" s="27"/>
      <c r="BS198" s="27"/>
      <c r="BT198" s="27"/>
      <c r="BU198" s="27"/>
      <c r="BV198" s="27"/>
      <c r="BW198" s="27"/>
      <c r="BX198" s="276"/>
      <c r="BY198" s="284"/>
      <c r="BZ198" s="276"/>
      <c r="CA198" s="276"/>
      <c r="CB198" s="276"/>
      <c r="CC198" s="276"/>
      <c r="CD198" s="276"/>
      <c r="CE198" s="276"/>
      <c r="CF198" s="276"/>
      <c r="CG198" s="276"/>
      <c r="CH198" s="276"/>
      <c r="CI198" s="276"/>
      <c r="CJ198" s="276"/>
      <c r="CK198" s="276"/>
      <c r="CL198" s="276"/>
      <c r="CM198" s="276"/>
      <c r="CN198" s="276"/>
      <c r="CO198" s="276"/>
      <c r="CP198" s="276"/>
      <c r="CQ198" s="276"/>
      <c r="CR198" s="276"/>
      <c r="CS198" s="276"/>
      <c r="CT198" s="276"/>
      <c r="CU198" s="276"/>
      <c r="CV198" s="276"/>
      <c r="CW198" s="276"/>
      <c r="CX198" s="276"/>
      <c r="CY198" s="276"/>
      <c r="CZ198" s="276"/>
    </row>
    <row r="199" spans="1:104" x14ac:dyDescent="0.35">
      <c r="A199" s="27"/>
      <c r="B199" s="276"/>
      <c r="C199" s="277"/>
      <c r="D199" s="276"/>
      <c r="E199" s="276"/>
      <c r="F199" s="276"/>
      <c r="G199" s="276"/>
      <c r="H199" s="276"/>
      <c r="I199" s="276"/>
      <c r="J199" s="278"/>
      <c r="K199" s="278"/>
      <c r="L199" s="278"/>
      <c r="M199" s="278"/>
      <c r="N199" s="276"/>
      <c r="O199" s="276"/>
      <c r="P199" s="276"/>
      <c r="Q199" s="284"/>
      <c r="R199" s="27"/>
      <c r="S199" s="27"/>
      <c r="T199" s="27"/>
      <c r="U199" s="27"/>
      <c r="V199" s="27"/>
      <c r="W199" s="27"/>
      <c r="X199" s="29"/>
      <c r="Y199" s="29"/>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113"/>
      <c r="BC199" s="27"/>
      <c r="BD199" s="27"/>
      <c r="BE199" s="27"/>
      <c r="BF199" s="27"/>
      <c r="BG199" s="27"/>
      <c r="BH199" s="27"/>
      <c r="BI199" s="27"/>
      <c r="BJ199" s="27"/>
      <c r="BK199" s="27"/>
      <c r="BL199" s="27"/>
      <c r="BM199" s="27"/>
      <c r="BN199" s="27"/>
      <c r="BO199" s="27"/>
      <c r="BP199" s="87"/>
      <c r="BQ199" s="27"/>
      <c r="BR199" s="27"/>
      <c r="BS199" s="27"/>
      <c r="BT199" s="27"/>
      <c r="BU199" s="27"/>
      <c r="BV199" s="27"/>
      <c r="BW199" s="27"/>
      <c r="BX199" s="276"/>
      <c r="BY199" s="284"/>
      <c r="BZ199" s="276"/>
      <c r="CA199" s="276"/>
      <c r="CB199" s="276"/>
      <c r="CC199" s="276"/>
      <c r="CD199" s="276"/>
      <c r="CE199" s="276"/>
      <c r="CF199" s="276"/>
      <c r="CG199" s="276"/>
      <c r="CH199" s="276"/>
      <c r="CI199" s="276"/>
      <c r="CJ199" s="276"/>
      <c r="CK199" s="276"/>
      <c r="CL199" s="276"/>
      <c r="CM199" s="276"/>
      <c r="CN199" s="276"/>
      <c r="CO199" s="276"/>
      <c r="CP199" s="276"/>
      <c r="CQ199" s="276"/>
      <c r="CR199" s="276"/>
      <c r="CS199" s="276"/>
      <c r="CT199" s="276"/>
      <c r="CU199" s="276"/>
      <c r="CV199" s="276"/>
      <c r="CW199" s="276"/>
      <c r="CX199" s="276"/>
      <c r="CY199" s="276"/>
      <c r="CZ199" s="276"/>
    </row>
    <row r="200" spans="1:104" x14ac:dyDescent="0.35">
      <c r="A200" s="27"/>
      <c r="B200" s="276"/>
      <c r="C200" s="277"/>
      <c r="D200" s="276"/>
      <c r="E200" s="276"/>
      <c r="F200" s="276"/>
      <c r="G200" s="276"/>
      <c r="H200" s="276"/>
      <c r="I200" s="276"/>
      <c r="J200" s="278"/>
      <c r="K200" s="278"/>
      <c r="L200" s="278"/>
      <c r="M200" s="278"/>
      <c r="N200" s="276"/>
      <c r="O200" s="276"/>
      <c r="P200" s="276"/>
      <c r="Q200" s="284"/>
      <c r="R200" s="27"/>
      <c r="S200" s="27"/>
      <c r="T200" s="27"/>
      <c r="U200" s="27"/>
      <c r="V200" s="27"/>
      <c r="W200" s="27"/>
      <c r="X200" s="29"/>
      <c r="Y200" s="29"/>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113"/>
      <c r="BC200" s="27"/>
      <c r="BD200" s="27"/>
      <c r="BE200" s="27"/>
      <c r="BF200" s="27"/>
      <c r="BG200" s="27"/>
      <c r="BH200" s="27"/>
      <c r="BI200" s="27"/>
      <c r="BJ200" s="27"/>
      <c r="BK200" s="27"/>
      <c r="BL200" s="27"/>
      <c r="BM200" s="27"/>
      <c r="BN200" s="27"/>
      <c r="BO200" s="27"/>
      <c r="BP200" s="87"/>
      <c r="BQ200" s="27"/>
      <c r="BR200" s="27"/>
      <c r="BS200" s="27"/>
      <c r="BT200" s="27"/>
      <c r="BU200" s="27"/>
      <c r="BV200" s="27"/>
      <c r="BW200" s="27"/>
      <c r="BX200" s="276"/>
      <c r="BY200" s="284"/>
      <c r="BZ200" s="276"/>
      <c r="CA200" s="276"/>
      <c r="CB200" s="276"/>
      <c r="CC200" s="276"/>
      <c r="CD200" s="276"/>
      <c r="CE200" s="276"/>
      <c r="CF200" s="276"/>
      <c r="CG200" s="276"/>
      <c r="CH200" s="276"/>
      <c r="CI200" s="276"/>
      <c r="CJ200" s="276"/>
      <c r="CK200" s="276"/>
      <c r="CL200" s="276"/>
      <c r="CM200" s="276"/>
      <c r="CN200" s="276"/>
      <c r="CO200" s="276"/>
      <c r="CP200" s="276"/>
      <c r="CQ200" s="276"/>
      <c r="CR200" s="276"/>
      <c r="CS200" s="276"/>
      <c r="CT200" s="276"/>
      <c r="CU200" s="276"/>
      <c r="CV200" s="276"/>
      <c r="CW200" s="276"/>
      <c r="CX200" s="276"/>
      <c r="CY200" s="276"/>
      <c r="CZ200" s="276"/>
    </row>
    <row r="201" spans="1:104" x14ac:dyDescent="0.35">
      <c r="A201" s="27"/>
      <c r="B201" s="276"/>
      <c r="C201" s="277"/>
      <c r="D201" s="276"/>
      <c r="E201" s="276"/>
      <c r="F201" s="276"/>
      <c r="G201" s="276"/>
      <c r="H201" s="276"/>
      <c r="I201" s="276"/>
      <c r="J201" s="278"/>
      <c r="K201" s="278"/>
      <c r="L201" s="278"/>
      <c r="M201" s="278"/>
      <c r="N201" s="276"/>
      <c r="O201" s="276"/>
      <c r="P201" s="276"/>
      <c r="Q201" s="284"/>
      <c r="R201" s="27"/>
      <c r="S201" s="27"/>
      <c r="T201" s="27"/>
      <c r="U201" s="27"/>
      <c r="V201" s="27"/>
      <c r="W201" s="27"/>
      <c r="X201" s="29"/>
      <c r="Y201" s="29"/>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113"/>
      <c r="BC201" s="27"/>
      <c r="BD201" s="27"/>
      <c r="BE201" s="27"/>
      <c r="BF201" s="27"/>
      <c r="BG201" s="27"/>
      <c r="BH201" s="27"/>
      <c r="BI201" s="27"/>
      <c r="BJ201" s="27"/>
      <c r="BK201" s="27"/>
      <c r="BL201" s="27"/>
      <c r="BM201" s="27"/>
      <c r="BN201" s="27"/>
      <c r="BO201" s="27"/>
      <c r="BP201" s="87"/>
      <c r="BQ201" s="27"/>
      <c r="BR201" s="27"/>
      <c r="BS201" s="27"/>
      <c r="BT201" s="27"/>
      <c r="BU201" s="27"/>
      <c r="BV201" s="27"/>
      <c r="BW201" s="27"/>
      <c r="BX201" s="276"/>
      <c r="BY201" s="284"/>
      <c r="BZ201" s="276"/>
      <c r="CA201" s="276"/>
      <c r="CB201" s="276"/>
      <c r="CC201" s="276"/>
      <c r="CD201" s="276"/>
      <c r="CE201" s="276"/>
      <c r="CF201" s="276"/>
      <c r="CG201" s="276"/>
      <c r="CH201" s="276"/>
      <c r="CI201" s="276"/>
      <c r="CJ201" s="276"/>
      <c r="CK201" s="276"/>
      <c r="CL201" s="276"/>
      <c r="CM201" s="276"/>
      <c r="CN201" s="276"/>
      <c r="CO201" s="276"/>
      <c r="CP201" s="276"/>
      <c r="CQ201" s="276"/>
      <c r="CR201" s="276"/>
      <c r="CS201" s="276"/>
      <c r="CT201" s="276"/>
      <c r="CU201" s="276"/>
      <c r="CV201" s="276"/>
      <c r="CW201" s="276"/>
      <c r="CX201" s="276"/>
      <c r="CY201" s="276"/>
      <c r="CZ201" s="276"/>
    </row>
    <row r="202" spans="1:104" x14ac:dyDescent="0.35">
      <c r="A202" s="27"/>
      <c r="B202" s="276"/>
      <c r="C202" s="277"/>
      <c r="D202" s="276"/>
      <c r="E202" s="276"/>
      <c r="F202" s="276"/>
      <c r="G202" s="276"/>
      <c r="H202" s="276"/>
      <c r="I202" s="276"/>
      <c r="J202" s="278"/>
      <c r="K202" s="278"/>
      <c r="L202" s="278"/>
      <c r="M202" s="278"/>
      <c r="N202" s="276"/>
      <c r="O202" s="276"/>
      <c r="P202" s="276"/>
      <c r="Q202" s="284"/>
      <c r="R202" s="27"/>
      <c r="S202" s="27"/>
      <c r="T202" s="27"/>
      <c r="U202" s="27"/>
      <c r="V202" s="27"/>
      <c r="W202" s="27"/>
      <c r="X202" s="29"/>
      <c r="Y202" s="29"/>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113"/>
      <c r="BC202" s="27"/>
      <c r="BD202" s="27"/>
      <c r="BE202" s="27"/>
      <c r="BF202" s="27"/>
      <c r="BG202" s="27"/>
      <c r="BH202" s="27"/>
      <c r="BI202" s="27"/>
      <c r="BJ202" s="27"/>
      <c r="BK202" s="27"/>
      <c r="BL202" s="27"/>
      <c r="BM202" s="27"/>
      <c r="BN202" s="27"/>
      <c r="BO202" s="27"/>
      <c r="BP202" s="87"/>
      <c r="BQ202" s="27"/>
      <c r="BR202" s="27"/>
      <c r="BS202" s="27"/>
      <c r="BT202" s="27"/>
      <c r="BU202" s="27"/>
      <c r="BV202" s="27"/>
      <c r="BW202" s="27"/>
      <c r="BX202" s="276"/>
      <c r="BY202" s="284"/>
      <c r="BZ202" s="276"/>
      <c r="CA202" s="276"/>
      <c r="CB202" s="276"/>
      <c r="CC202" s="276"/>
      <c r="CD202" s="276"/>
      <c r="CE202" s="276"/>
      <c r="CF202" s="276"/>
      <c r="CG202" s="276"/>
      <c r="CH202" s="276"/>
      <c r="CI202" s="276"/>
      <c r="CJ202" s="276"/>
      <c r="CK202" s="276"/>
      <c r="CL202" s="276"/>
      <c r="CM202" s="276"/>
      <c r="CN202" s="276"/>
      <c r="CO202" s="276"/>
      <c r="CP202" s="276"/>
      <c r="CQ202" s="276"/>
      <c r="CR202" s="276"/>
      <c r="CS202" s="276"/>
      <c r="CT202" s="276"/>
      <c r="CU202" s="276"/>
      <c r="CV202" s="276"/>
      <c r="CW202" s="276"/>
      <c r="CX202" s="276"/>
      <c r="CY202" s="276"/>
      <c r="CZ202" s="276"/>
    </row>
    <row r="203" spans="1:104" x14ac:dyDescent="0.35">
      <c r="A203" s="27"/>
      <c r="B203" s="276"/>
      <c r="C203" s="277"/>
      <c r="D203" s="276"/>
      <c r="E203" s="276"/>
      <c r="F203" s="276"/>
      <c r="G203" s="276"/>
      <c r="H203" s="276"/>
      <c r="I203" s="276"/>
      <c r="J203" s="278"/>
      <c r="K203" s="278"/>
      <c r="L203" s="278"/>
      <c r="M203" s="278"/>
      <c r="N203" s="276"/>
      <c r="O203" s="276"/>
      <c r="P203" s="276"/>
      <c r="Q203" s="284"/>
      <c r="R203" s="27"/>
      <c r="S203" s="27"/>
      <c r="T203" s="27"/>
      <c r="U203" s="27"/>
      <c r="V203" s="27"/>
      <c r="W203" s="27"/>
      <c r="X203" s="29"/>
      <c r="Y203" s="29"/>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113"/>
      <c r="BC203" s="27"/>
      <c r="BD203" s="27"/>
      <c r="BE203" s="27"/>
      <c r="BF203" s="27"/>
      <c r="BG203" s="27"/>
      <c r="BH203" s="27"/>
      <c r="BI203" s="27"/>
      <c r="BJ203" s="27"/>
      <c r="BK203" s="27"/>
      <c r="BL203" s="27"/>
      <c r="BM203" s="27"/>
      <c r="BN203" s="27"/>
      <c r="BO203" s="27"/>
      <c r="BP203" s="87"/>
      <c r="BQ203" s="27"/>
      <c r="BR203" s="27"/>
      <c r="BS203" s="27"/>
      <c r="BT203" s="27"/>
      <c r="BU203" s="27"/>
      <c r="BV203" s="27"/>
      <c r="BW203" s="27"/>
      <c r="BX203" s="276"/>
      <c r="BY203" s="284"/>
      <c r="BZ203" s="276"/>
      <c r="CA203" s="276"/>
      <c r="CB203" s="276"/>
      <c r="CC203" s="276"/>
      <c r="CD203" s="276"/>
      <c r="CE203" s="276"/>
      <c r="CF203" s="276"/>
      <c r="CG203" s="276"/>
      <c r="CH203" s="276"/>
      <c r="CI203" s="276"/>
      <c r="CJ203" s="276"/>
      <c r="CK203" s="276"/>
      <c r="CL203" s="276"/>
      <c r="CM203" s="276"/>
      <c r="CN203" s="276"/>
      <c r="CO203" s="276"/>
      <c r="CP203" s="276"/>
      <c r="CQ203" s="276"/>
      <c r="CR203" s="276"/>
      <c r="CS203" s="276"/>
      <c r="CT203" s="276"/>
      <c r="CU203" s="276"/>
      <c r="CV203" s="276"/>
      <c r="CW203" s="276"/>
      <c r="CX203" s="276"/>
      <c r="CY203" s="276"/>
      <c r="CZ203" s="276"/>
    </row>
    <row r="204" spans="1:104" x14ac:dyDescent="0.35">
      <c r="A204" s="27"/>
      <c r="B204" s="276"/>
      <c r="C204" s="277"/>
      <c r="D204" s="276"/>
      <c r="E204" s="276"/>
      <c r="F204" s="276"/>
      <c r="G204" s="276"/>
      <c r="H204" s="276"/>
      <c r="I204" s="276"/>
      <c r="J204" s="278"/>
      <c r="K204" s="278"/>
      <c r="L204" s="278"/>
      <c r="M204" s="278"/>
      <c r="N204" s="276"/>
      <c r="O204" s="276"/>
      <c r="P204" s="276"/>
      <c r="Q204" s="284"/>
      <c r="R204" s="27"/>
      <c r="S204" s="27"/>
      <c r="T204" s="27"/>
      <c r="U204" s="27"/>
      <c r="V204" s="27"/>
      <c r="W204" s="27"/>
      <c r="X204" s="29"/>
      <c r="Y204" s="29"/>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113"/>
      <c r="BC204" s="27"/>
      <c r="BD204" s="27"/>
      <c r="BE204" s="27"/>
      <c r="BF204" s="27"/>
      <c r="BG204" s="27"/>
      <c r="BH204" s="27"/>
      <c r="BI204" s="27"/>
      <c r="BJ204" s="27"/>
      <c r="BK204" s="27"/>
      <c r="BL204" s="27"/>
      <c r="BM204" s="27"/>
      <c r="BN204" s="27"/>
      <c r="BO204" s="27"/>
      <c r="BP204" s="87"/>
      <c r="BQ204" s="27"/>
      <c r="BR204" s="27"/>
      <c r="BS204" s="27"/>
      <c r="BT204" s="27"/>
      <c r="BU204" s="27"/>
      <c r="BV204" s="27"/>
      <c r="BW204" s="27"/>
      <c r="BX204" s="276"/>
      <c r="BY204" s="284"/>
      <c r="BZ204" s="276"/>
      <c r="CA204" s="276"/>
      <c r="CB204" s="276"/>
      <c r="CC204" s="276"/>
      <c r="CD204" s="276"/>
      <c r="CE204" s="276"/>
      <c r="CF204" s="276"/>
      <c r="CG204" s="276"/>
      <c r="CH204" s="276"/>
      <c r="CI204" s="276"/>
      <c r="CJ204" s="276"/>
      <c r="CK204" s="276"/>
      <c r="CL204" s="276"/>
      <c r="CM204" s="276"/>
      <c r="CN204" s="276"/>
      <c r="CO204" s="276"/>
      <c r="CP204" s="276"/>
      <c r="CQ204" s="276"/>
      <c r="CR204" s="276"/>
      <c r="CS204" s="276"/>
      <c r="CT204" s="276"/>
      <c r="CU204" s="276"/>
      <c r="CV204" s="276"/>
      <c r="CW204" s="276"/>
      <c r="CX204" s="276"/>
      <c r="CY204" s="276"/>
      <c r="CZ204" s="276"/>
    </row>
    <row r="205" spans="1:104" x14ac:dyDescent="0.35">
      <c r="A205" s="27"/>
      <c r="B205" s="276"/>
      <c r="C205" s="277"/>
      <c r="D205" s="276"/>
      <c r="E205" s="276"/>
      <c r="F205" s="276"/>
      <c r="G205" s="276"/>
      <c r="H205" s="276"/>
      <c r="I205" s="276"/>
      <c r="J205" s="278"/>
      <c r="K205" s="278"/>
      <c r="L205" s="278"/>
      <c r="M205" s="278"/>
      <c r="N205" s="276"/>
      <c r="O205" s="276"/>
      <c r="P205" s="276"/>
      <c r="Q205" s="284"/>
      <c r="R205" s="27"/>
      <c r="S205" s="27"/>
      <c r="T205" s="27"/>
      <c r="U205" s="27"/>
      <c r="V205" s="27"/>
      <c r="W205" s="27"/>
      <c r="X205" s="29"/>
      <c r="Y205" s="29"/>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113"/>
      <c r="BC205" s="27"/>
      <c r="BD205" s="27"/>
      <c r="BE205" s="27"/>
      <c r="BF205" s="27"/>
      <c r="BG205" s="27"/>
      <c r="BH205" s="27"/>
      <c r="BI205" s="27"/>
      <c r="BJ205" s="27"/>
      <c r="BK205" s="27"/>
      <c r="BL205" s="27"/>
      <c r="BM205" s="27"/>
      <c r="BN205" s="27"/>
      <c r="BO205" s="27"/>
      <c r="BP205" s="87"/>
      <c r="BQ205" s="27"/>
      <c r="BR205" s="27"/>
      <c r="BS205" s="27"/>
      <c r="BT205" s="27"/>
      <c r="BU205" s="27"/>
      <c r="BV205" s="27"/>
      <c r="BW205" s="27"/>
      <c r="BX205" s="276"/>
      <c r="BY205" s="284"/>
      <c r="BZ205" s="276"/>
      <c r="CA205" s="276"/>
      <c r="CB205" s="276"/>
      <c r="CC205" s="276"/>
      <c r="CD205" s="276"/>
      <c r="CE205" s="276"/>
      <c r="CF205" s="276"/>
      <c r="CG205" s="276"/>
      <c r="CH205" s="276"/>
      <c r="CI205" s="276"/>
      <c r="CJ205" s="276"/>
      <c r="CK205" s="276"/>
      <c r="CL205" s="276"/>
      <c r="CM205" s="276"/>
      <c r="CN205" s="276"/>
      <c r="CO205" s="276"/>
      <c r="CP205" s="276"/>
      <c r="CQ205" s="276"/>
      <c r="CR205" s="276"/>
      <c r="CS205" s="276"/>
      <c r="CT205" s="276"/>
      <c r="CU205" s="276"/>
      <c r="CV205" s="276"/>
      <c r="CW205" s="276"/>
      <c r="CX205" s="276"/>
      <c r="CY205" s="276"/>
      <c r="CZ205" s="276"/>
    </row>
    <row r="206" spans="1:104" x14ac:dyDescent="0.35">
      <c r="A206" s="27"/>
      <c r="B206" s="276"/>
      <c r="C206" s="277"/>
      <c r="D206" s="276"/>
      <c r="E206" s="276"/>
      <c r="F206" s="276"/>
      <c r="G206" s="276"/>
      <c r="H206" s="276"/>
      <c r="I206" s="276"/>
      <c r="J206" s="278"/>
      <c r="K206" s="278"/>
      <c r="L206" s="278"/>
      <c r="M206" s="278"/>
      <c r="N206" s="276"/>
      <c r="O206" s="276"/>
      <c r="P206" s="276"/>
      <c r="Q206" s="284"/>
      <c r="R206" s="27"/>
      <c r="S206" s="27"/>
      <c r="T206" s="27"/>
      <c r="U206" s="27"/>
      <c r="V206" s="27"/>
      <c r="W206" s="27"/>
      <c r="X206" s="29"/>
      <c r="Y206" s="29"/>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113"/>
      <c r="BC206" s="27"/>
      <c r="BD206" s="27"/>
      <c r="BE206" s="27"/>
      <c r="BF206" s="27"/>
      <c r="BG206" s="27"/>
      <c r="BH206" s="27"/>
      <c r="BI206" s="27"/>
      <c r="BJ206" s="27"/>
      <c r="BK206" s="27"/>
      <c r="BL206" s="27"/>
      <c r="BM206" s="27"/>
      <c r="BN206" s="27"/>
      <c r="BO206" s="27"/>
      <c r="BP206" s="87"/>
      <c r="BQ206" s="27"/>
      <c r="BR206" s="27"/>
      <c r="BS206" s="27"/>
      <c r="BT206" s="27"/>
      <c r="BU206" s="27"/>
      <c r="BV206" s="27"/>
      <c r="BW206" s="27"/>
      <c r="BX206" s="276"/>
      <c r="BY206" s="284"/>
      <c r="BZ206" s="276"/>
      <c r="CA206" s="276"/>
      <c r="CB206" s="276"/>
      <c r="CC206" s="276"/>
      <c r="CD206" s="276"/>
      <c r="CE206" s="276"/>
      <c r="CF206" s="276"/>
      <c r="CG206" s="276"/>
      <c r="CH206" s="276"/>
      <c r="CI206" s="276"/>
      <c r="CJ206" s="276"/>
      <c r="CK206" s="276"/>
      <c r="CL206" s="276"/>
      <c r="CM206" s="276"/>
      <c r="CN206" s="276"/>
      <c r="CO206" s="276"/>
      <c r="CP206" s="276"/>
      <c r="CQ206" s="276"/>
      <c r="CR206" s="276"/>
      <c r="CS206" s="276"/>
      <c r="CT206" s="276"/>
      <c r="CU206" s="276"/>
      <c r="CV206" s="276"/>
      <c r="CW206" s="276"/>
      <c r="CX206" s="276"/>
      <c r="CY206" s="276"/>
      <c r="CZ206" s="276"/>
    </row>
    <row r="207" spans="1:104" x14ac:dyDescent="0.35">
      <c r="A207" s="27"/>
      <c r="B207" s="276"/>
      <c r="C207" s="277"/>
      <c r="D207" s="276"/>
      <c r="E207" s="276"/>
      <c r="F207" s="276"/>
      <c r="G207" s="276"/>
      <c r="H207" s="276"/>
      <c r="I207" s="276"/>
      <c r="J207" s="278"/>
      <c r="K207" s="278"/>
      <c r="L207" s="278"/>
      <c r="M207" s="278"/>
      <c r="N207" s="276"/>
      <c r="O207" s="276"/>
      <c r="P207" s="276"/>
      <c r="Q207" s="284"/>
      <c r="R207" s="27"/>
      <c r="S207" s="27"/>
      <c r="T207" s="27"/>
      <c r="U207" s="27"/>
      <c r="V207" s="27"/>
      <c r="W207" s="27"/>
      <c r="X207" s="29"/>
      <c r="Y207" s="29"/>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113"/>
      <c r="BC207" s="27"/>
      <c r="BD207" s="27"/>
      <c r="BE207" s="27"/>
      <c r="BF207" s="27"/>
      <c r="BG207" s="27"/>
      <c r="BH207" s="27"/>
      <c r="BI207" s="27"/>
      <c r="BJ207" s="27"/>
      <c r="BK207" s="27"/>
      <c r="BL207" s="27"/>
      <c r="BM207" s="27"/>
      <c r="BN207" s="27"/>
      <c r="BO207" s="27"/>
      <c r="BP207" s="87"/>
      <c r="BQ207" s="27"/>
      <c r="BR207" s="27"/>
      <c r="BS207" s="27"/>
      <c r="BT207" s="27"/>
      <c r="BU207" s="27"/>
      <c r="BV207" s="27"/>
      <c r="BW207" s="27"/>
      <c r="BX207" s="276"/>
      <c r="BY207" s="284"/>
      <c r="BZ207" s="276"/>
      <c r="CA207" s="276"/>
      <c r="CB207" s="276"/>
      <c r="CC207" s="276"/>
      <c r="CD207" s="276"/>
      <c r="CE207" s="276"/>
      <c r="CF207" s="276"/>
      <c r="CG207" s="276"/>
      <c r="CH207" s="276"/>
      <c r="CI207" s="276"/>
      <c r="CJ207" s="276"/>
      <c r="CK207" s="276"/>
      <c r="CL207" s="276"/>
      <c r="CM207" s="276"/>
      <c r="CN207" s="276"/>
      <c r="CO207" s="276"/>
      <c r="CP207" s="276"/>
      <c r="CQ207" s="276"/>
      <c r="CR207" s="276"/>
      <c r="CS207" s="276"/>
      <c r="CT207" s="276"/>
      <c r="CU207" s="276"/>
      <c r="CV207" s="276"/>
      <c r="CW207" s="276"/>
      <c r="CX207" s="276"/>
      <c r="CY207" s="276"/>
      <c r="CZ207" s="276"/>
    </row>
    <row r="208" spans="1:104" x14ac:dyDescent="0.35">
      <c r="A208" s="27"/>
      <c r="B208" s="276"/>
      <c r="C208" s="277"/>
      <c r="D208" s="276"/>
      <c r="E208" s="276"/>
      <c r="F208" s="276"/>
      <c r="G208" s="276"/>
      <c r="H208" s="276"/>
      <c r="I208" s="276"/>
      <c r="J208" s="278"/>
      <c r="K208" s="278"/>
      <c r="L208" s="278"/>
      <c r="M208" s="278"/>
      <c r="N208" s="276"/>
      <c r="O208" s="276"/>
      <c r="P208" s="276"/>
      <c r="Q208" s="284"/>
      <c r="R208" s="27"/>
      <c r="S208" s="27"/>
      <c r="T208" s="27"/>
      <c r="U208" s="27"/>
      <c r="V208" s="27"/>
      <c r="W208" s="27"/>
      <c r="X208" s="29"/>
      <c r="Y208" s="29"/>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113"/>
      <c r="BC208" s="27"/>
      <c r="BD208" s="27"/>
      <c r="BE208" s="27"/>
      <c r="BF208" s="27"/>
      <c r="BG208" s="27"/>
      <c r="BH208" s="27"/>
      <c r="BI208" s="27"/>
      <c r="BJ208" s="27"/>
      <c r="BK208" s="27"/>
      <c r="BL208" s="27"/>
      <c r="BM208" s="27"/>
      <c r="BN208" s="27"/>
      <c r="BO208" s="27"/>
      <c r="BP208" s="87"/>
      <c r="BQ208" s="27"/>
      <c r="BR208" s="27"/>
      <c r="BS208" s="27"/>
      <c r="BT208" s="27"/>
      <c r="BU208" s="27"/>
      <c r="BV208" s="27"/>
      <c r="BW208" s="27"/>
      <c r="BX208" s="276"/>
      <c r="BY208" s="284"/>
      <c r="BZ208" s="276"/>
      <c r="CA208" s="276"/>
      <c r="CB208" s="276"/>
      <c r="CC208" s="276"/>
      <c r="CD208" s="276"/>
      <c r="CE208" s="276"/>
      <c r="CF208" s="276"/>
      <c r="CG208" s="276"/>
      <c r="CH208" s="276"/>
      <c r="CI208" s="276"/>
      <c r="CJ208" s="276"/>
      <c r="CK208" s="276"/>
      <c r="CL208" s="276"/>
      <c r="CM208" s="276"/>
      <c r="CN208" s="276"/>
      <c r="CO208" s="276"/>
      <c r="CP208" s="276"/>
      <c r="CQ208" s="276"/>
      <c r="CR208" s="276"/>
      <c r="CS208" s="276"/>
      <c r="CT208" s="276"/>
      <c r="CU208" s="276"/>
      <c r="CV208" s="276"/>
      <c r="CW208" s="276"/>
      <c r="CX208" s="276"/>
      <c r="CY208" s="276"/>
      <c r="CZ208" s="276"/>
    </row>
    <row r="209" spans="1:104" x14ac:dyDescent="0.35">
      <c r="A209" s="27"/>
      <c r="B209" s="276"/>
      <c r="C209" s="277"/>
      <c r="D209" s="276"/>
      <c r="E209" s="276"/>
      <c r="F209" s="276"/>
      <c r="G209" s="276"/>
      <c r="H209" s="276"/>
      <c r="I209" s="276"/>
      <c r="J209" s="278"/>
      <c r="K209" s="278"/>
      <c r="L209" s="278"/>
      <c r="M209" s="278"/>
      <c r="N209" s="276"/>
      <c r="O209" s="276"/>
      <c r="P209" s="276"/>
      <c r="Q209" s="284"/>
      <c r="R209" s="27"/>
      <c r="S209" s="27"/>
      <c r="T209" s="27"/>
      <c r="U209" s="27"/>
      <c r="V209" s="27"/>
      <c r="W209" s="27"/>
      <c r="X209" s="29"/>
      <c r="Y209" s="29"/>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113"/>
      <c r="BC209" s="27"/>
      <c r="BD209" s="27"/>
      <c r="BE209" s="27"/>
      <c r="BF209" s="27"/>
      <c r="BG209" s="27"/>
      <c r="BH209" s="27"/>
      <c r="BI209" s="27"/>
      <c r="BJ209" s="27"/>
      <c r="BK209" s="27"/>
      <c r="BL209" s="27"/>
      <c r="BM209" s="27"/>
      <c r="BN209" s="27"/>
      <c r="BO209" s="27"/>
      <c r="BP209" s="87"/>
      <c r="BQ209" s="27"/>
      <c r="BR209" s="27"/>
      <c r="BS209" s="27"/>
      <c r="BT209" s="27"/>
      <c r="BU209" s="27"/>
      <c r="BV209" s="27"/>
      <c r="BW209" s="27"/>
      <c r="BX209" s="276"/>
      <c r="BY209" s="284"/>
      <c r="BZ209" s="276"/>
      <c r="CA209" s="276"/>
      <c r="CB209" s="276"/>
      <c r="CC209" s="276"/>
      <c r="CD209" s="276"/>
      <c r="CE209" s="276"/>
      <c r="CF209" s="276"/>
      <c r="CG209" s="276"/>
      <c r="CH209" s="276"/>
      <c r="CI209" s="276"/>
      <c r="CJ209" s="276"/>
      <c r="CK209" s="276"/>
      <c r="CL209" s="276"/>
      <c r="CM209" s="276"/>
      <c r="CN209" s="276"/>
      <c r="CO209" s="276"/>
      <c r="CP209" s="276"/>
      <c r="CQ209" s="276"/>
      <c r="CR209" s="276"/>
      <c r="CS209" s="276"/>
      <c r="CT209" s="276"/>
      <c r="CU209" s="276"/>
      <c r="CV209" s="276"/>
      <c r="CW209" s="276"/>
      <c r="CX209" s="276"/>
      <c r="CY209" s="276"/>
      <c r="CZ209" s="276"/>
    </row>
    <row r="210" spans="1:104" x14ac:dyDescent="0.35">
      <c r="A210" s="27"/>
      <c r="B210" s="276"/>
      <c r="C210" s="277"/>
      <c r="D210" s="276"/>
      <c r="E210" s="276"/>
      <c r="F210" s="276"/>
      <c r="G210" s="276"/>
      <c r="H210" s="276"/>
      <c r="I210" s="276"/>
      <c r="J210" s="278"/>
      <c r="K210" s="278"/>
      <c r="L210" s="278"/>
      <c r="M210" s="278"/>
      <c r="N210" s="276"/>
      <c r="O210" s="276"/>
      <c r="P210" s="276"/>
      <c r="Q210" s="284"/>
      <c r="R210" s="27"/>
      <c r="S210" s="27"/>
      <c r="T210" s="27"/>
      <c r="U210" s="27"/>
      <c r="V210" s="27"/>
      <c r="W210" s="27"/>
      <c r="X210" s="29"/>
      <c r="Y210" s="29"/>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113"/>
      <c r="BC210" s="27"/>
      <c r="BD210" s="27"/>
      <c r="BE210" s="27"/>
      <c r="BF210" s="27"/>
      <c r="BG210" s="27"/>
      <c r="BH210" s="27"/>
      <c r="BI210" s="27"/>
      <c r="BJ210" s="27"/>
      <c r="BK210" s="27"/>
      <c r="BL210" s="27"/>
      <c r="BM210" s="27"/>
      <c r="BN210" s="27"/>
      <c r="BO210" s="27"/>
      <c r="BP210" s="87"/>
      <c r="BQ210" s="27"/>
      <c r="BR210" s="27"/>
      <c r="BS210" s="27"/>
      <c r="BT210" s="27"/>
      <c r="BU210" s="27"/>
      <c r="BV210" s="27"/>
      <c r="BW210" s="27"/>
      <c r="BX210" s="276"/>
      <c r="BY210" s="284"/>
      <c r="BZ210" s="276"/>
      <c r="CA210" s="276"/>
      <c r="CB210" s="276"/>
      <c r="CC210" s="276"/>
      <c r="CD210" s="276"/>
      <c r="CE210" s="276"/>
      <c r="CF210" s="276"/>
      <c r="CG210" s="276"/>
      <c r="CH210" s="276"/>
      <c r="CI210" s="276"/>
      <c r="CJ210" s="276"/>
      <c r="CK210" s="276"/>
      <c r="CL210" s="276"/>
      <c r="CM210" s="276"/>
      <c r="CN210" s="276"/>
      <c r="CO210" s="276"/>
      <c r="CP210" s="276"/>
      <c r="CQ210" s="276"/>
      <c r="CR210" s="276"/>
      <c r="CS210" s="276"/>
      <c r="CT210" s="276"/>
      <c r="CU210" s="276"/>
      <c r="CV210" s="276"/>
      <c r="CW210" s="276"/>
      <c r="CX210" s="276"/>
      <c r="CY210" s="276"/>
      <c r="CZ210" s="276"/>
    </row>
    <row r="211" spans="1:104" x14ac:dyDescent="0.35">
      <c r="A211" s="27"/>
      <c r="B211" s="276"/>
      <c r="C211" s="277"/>
      <c r="D211" s="276"/>
      <c r="E211" s="276"/>
      <c r="F211" s="276"/>
      <c r="G211" s="276"/>
      <c r="H211" s="276"/>
      <c r="I211" s="276"/>
      <c r="J211" s="278"/>
      <c r="K211" s="278"/>
      <c r="L211" s="278"/>
      <c r="M211" s="278"/>
      <c r="N211" s="276"/>
      <c r="O211" s="276"/>
      <c r="P211" s="276"/>
      <c r="Q211" s="284"/>
      <c r="R211" s="27"/>
      <c r="S211" s="27"/>
      <c r="T211" s="27"/>
      <c r="U211" s="27"/>
      <c r="V211" s="27"/>
      <c r="W211" s="27"/>
      <c r="X211" s="29"/>
      <c r="Y211" s="29"/>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113"/>
      <c r="BC211" s="27"/>
      <c r="BD211" s="27"/>
      <c r="BE211" s="27"/>
      <c r="BF211" s="27"/>
      <c r="BG211" s="27"/>
      <c r="BH211" s="27"/>
      <c r="BI211" s="27"/>
      <c r="BJ211" s="27"/>
      <c r="BK211" s="27"/>
      <c r="BL211" s="27"/>
      <c r="BM211" s="27"/>
      <c r="BN211" s="27"/>
      <c r="BO211" s="27"/>
      <c r="BP211" s="87"/>
      <c r="BQ211" s="27"/>
      <c r="BR211" s="27"/>
      <c r="BS211" s="27"/>
      <c r="BT211" s="27"/>
      <c r="BU211" s="27"/>
      <c r="BV211" s="27"/>
      <c r="BW211" s="27"/>
      <c r="BX211" s="276"/>
      <c r="BY211" s="284"/>
      <c r="BZ211" s="276"/>
      <c r="CA211" s="276"/>
      <c r="CB211" s="276"/>
      <c r="CC211" s="276"/>
      <c r="CD211" s="276"/>
      <c r="CE211" s="276"/>
      <c r="CF211" s="276"/>
      <c r="CG211" s="276"/>
      <c r="CH211" s="276"/>
      <c r="CI211" s="276"/>
      <c r="CJ211" s="276"/>
      <c r="CK211" s="276"/>
      <c r="CL211" s="276"/>
      <c r="CM211" s="276"/>
      <c r="CN211" s="276"/>
      <c r="CO211" s="276"/>
      <c r="CP211" s="276"/>
      <c r="CQ211" s="276"/>
      <c r="CR211" s="276"/>
      <c r="CS211" s="276"/>
      <c r="CT211" s="276"/>
      <c r="CU211" s="276"/>
      <c r="CV211" s="276"/>
      <c r="CW211" s="276"/>
      <c r="CX211" s="276"/>
      <c r="CY211" s="276"/>
      <c r="CZ211" s="276"/>
    </row>
    <row r="212" spans="1:104" x14ac:dyDescent="0.35">
      <c r="A212" s="27"/>
      <c r="B212" s="276"/>
      <c r="C212" s="277"/>
      <c r="D212" s="276"/>
      <c r="E212" s="276"/>
      <c r="F212" s="276"/>
      <c r="G212" s="276"/>
      <c r="H212" s="276"/>
      <c r="I212" s="276"/>
      <c r="J212" s="278"/>
      <c r="K212" s="278"/>
      <c r="L212" s="278"/>
      <c r="M212" s="278"/>
      <c r="N212" s="276"/>
      <c r="O212" s="276"/>
      <c r="P212" s="276"/>
      <c r="Q212" s="284"/>
      <c r="R212" s="27"/>
      <c r="S212" s="27"/>
      <c r="T212" s="27"/>
      <c r="U212" s="27"/>
      <c r="V212" s="27"/>
      <c r="W212" s="27"/>
      <c r="X212" s="29"/>
      <c r="Y212" s="29"/>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113"/>
      <c r="BC212" s="27"/>
      <c r="BD212" s="27"/>
      <c r="BE212" s="27"/>
      <c r="BF212" s="27"/>
      <c r="BG212" s="27"/>
      <c r="BH212" s="27"/>
      <c r="BI212" s="27"/>
      <c r="BJ212" s="27"/>
      <c r="BK212" s="27"/>
      <c r="BL212" s="27"/>
      <c r="BM212" s="27"/>
      <c r="BN212" s="27"/>
      <c r="BO212" s="27"/>
      <c r="BP212" s="87"/>
      <c r="BQ212" s="27"/>
      <c r="BR212" s="27"/>
      <c r="BS212" s="27"/>
      <c r="BT212" s="27"/>
      <c r="BU212" s="27"/>
      <c r="BV212" s="27"/>
      <c r="BW212" s="27"/>
      <c r="BX212" s="276"/>
      <c r="BY212" s="284"/>
      <c r="BZ212" s="276"/>
      <c r="CA212" s="276"/>
      <c r="CB212" s="276"/>
      <c r="CC212" s="276"/>
      <c r="CD212" s="276"/>
      <c r="CE212" s="276"/>
      <c r="CF212" s="276"/>
      <c r="CG212" s="276"/>
      <c r="CH212" s="276"/>
      <c r="CI212" s="276"/>
      <c r="CJ212" s="276"/>
      <c r="CK212" s="276"/>
      <c r="CL212" s="276"/>
      <c r="CM212" s="276"/>
      <c r="CN212" s="276"/>
      <c r="CO212" s="276"/>
      <c r="CP212" s="276"/>
      <c r="CQ212" s="276"/>
      <c r="CR212" s="276"/>
      <c r="CS212" s="276"/>
      <c r="CT212" s="276"/>
      <c r="CU212" s="276"/>
      <c r="CV212" s="276"/>
      <c r="CW212" s="276"/>
      <c r="CX212" s="276"/>
      <c r="CY212" s="276"/>
      <c r="CZ212" s="276"/>
    </row>
    <row r="213" spans="1:104" x14ac:dyDescent="0.35">
      <c r="A213" s="27"/>
      <c r="B213" s="276"/>
      <c r="C213" s="277"/>
      <c r="D213" s="276"/>
      <c r="E213" s="276"/>
      <c r="F213" s="276"/>
      <c r="G213" s="276"/>
      <c r="H213" s="276"/>
      <c r="I213" s="276"/>
      <c r="J213" s="278"/>
      <c r="K213" s="278"/>
      <c r="L213" s="278"/>
      <c r="M213" s="278"/>
      <c r="N213" s="276"/>
      <c r="O213" s="276"/>
      <c r="P213" s="276"/>
      <c r="Q213" s="284"/>
      <c r="R213" s="27"/>
      <c r="S213" s="27"/>
      <c r="T213" s="27"/>
      <c r="U213" s="27"/>
      <c r="V213" s="27"/>
      <c r="W213" s="27"/>
      <c r="X213" s="29"/>
      <c r="Y213" s="29"/>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113"/>
      <c r="BC213" s="27"/>
      <c r="BD213" s="27"/>
      <c r="BE213" s="27"/>
      <c r="BF213" s="27"/>
      <c r="BG213" s="27"/>
      <c r="BH213" s="27"/>
      <c r="BI213" s="27"/>
      <c r="BJ213" s="27"/>
      <c r="BK213" s="27"/>
      <c r="BL213" s="27"/>
      <c r="BM213" s="27"/>
      <c r="BN213" s="27"/>
      <c r="BO213" s="27"/>
      <c r="BP213" s="87"/>
      <c r="BQ213" s="27"/>
      <c r="BR213" s="27"/>
      <c r="BS213" s="27"/>
      <c r="BT213" s="27"/>
      <c r="BU213" s="27"/>
      <c r="BV213" s="27"/>
      <c r="BW213" s="27"/>
      <c r="BX213" s="276"/>
      <c r="BY213" s="284"/>
      <c r="BZ213" s="276"/>
      <c r="CA213" s="276"/>
      <c r="CB213" s="276"/>
      <c r="CC213" s="276"/>
      <c r="CD213" s="276"/>
      <c r="CE213" s="276"/>
      <c r="CF213" s="276"/>
      <c r="CG213" s="276"/>
      <c r="CH213" s="276"/>
      <c r="CI213" s="276"/>
      <c r="CJ213" s="276"/>
      <c r="CK213" s="276"/>
      <c r="CL213" s="276"/>
      <c r="CM213" s="276"/>
      <c r="CN213" s="276"/>
      <c r="CO213" s="276"/>
      <c r="CP213" s="276"/>
      <c r="CQ213" s="276"/>
      <c r="CR213" s="276"/>
      <c r="CS213" s="276"/>
      <c r="CT213" s="276"/>
      <c r="CU213" s="276"/>
      <c r="CV213" s="276"/>
      <c r="CW213" s="276"/>
      <c r="CX213" s="276"/>
      <c r="CY213" s="276"/>
      <c r="CZ213" s="276"/>
    </row>
    <row r="214" spans="1:104" x14ac:dyDescent="0.35">
      <c r="A214" s="27"/>
      <c r="B214" s="276"/>
      <c r="C214" s="277"/>
      <c r="D214" s="276"/>
      <c r="E214" s="276"/>
      <c r="F214" s="276"/>
      <c r="G214" s="276"/>
      <c r="H214" s="276"/>
      <c r="I214" s="276"/>
      <c r="J214" s="278"/>
      <c r="K214" s="278"/>
      <c r="L214" s="278"/>
      <c r="M214" s="278"/>
      <c r="N214" s="276"/>
      <c r="O214" s="276"/>
      <c r="P214" s="276"/>
      <c r="Q214" s="284"/>
      <c r="R214" s="27"/>
      <c r="S214" s="27"/>
      <c r="T214" s="27"/>
      <c r="U214" s="27"/>
      <c r="V214" s="27"/>
      <c r="W214" s="27"/>
      <c r="X214" s="29"/>
      <c r="Y214" s="29"/>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113"/>
      <c r="BC214" s="27"/>
      <c r="BD214" s="27"/>
      <c r="BE214" s="27"/>
      <c r="BF214" s="27"/>
      <c r="BG214" s="27"/>
      <c r="BH214" s="27"/>
      <c r="BI214" s="27"/>
      <c r="BJ214" s="27"/>
      <c r="BK214" s="27"/>
      <c r="BL214" s="27"/>
      <c r="BM214" s="27"/>
      <c r="BN214" s="27"/>
      <c r="BO214" s="27"/>
      <c r="BP214" s="87"/>
      <c r="BQ214" s="27"/>
      <c r="BR214" s="27"/>
      <c r="BS214" s="27"/>
      <c r="BT214" s="27"/>
      <c r="BU214" s="27"/>
      <c r="BV214" s="27"/>
      <c r="BW214" s="27"/>
      <c r="BX214" s="276"/>
      <c r="BY214" s="284"/>
      <c r="BZ214" s="276"/>
      <c r="CA214" s="276"/>
      <c r="CB214" s="276"/>
      <c r="CC214" s="276"/>
      <c r="CD214" s="276"/>
      <c r="CE214" s="276"/>
      <c r="CF214" s="276"/>
      <c r="CG214" s="276"/>
      <c r="CH214" s="276"/>
      <c r="CI214" s="276"/>
      <c r="CJ214" s="276"/>
      <c r="CK214" s="276"/>
      <c r="CL214" s="276"/>
      <c r="CM214" s="276"/>
      <c r="CN214" s="276"/>
      <c r="CO214" s="276"/>
      <c r="CP214" s="276"/>
      <c r="CQ214" s="276"/>
      <c r="CR214" s="276"/>
      <c r="CS214" s="276"/>
      <c r="CT214" s="276"/>
      <c r="CU214" s="276"/>
      <c r="CV214" s="276"/>
      <c r="CW214" s="276"/>
      <c r="CX214" s="276"/>
      <c r="CY214" s="276"/>
      <c r="CZ214" s="276"/>
    </row>
    <row r="215" spans="1:104" x14ac:dyDescent="0.35">
      <c r="A215" s="27"/>
      <c r="B215" s="276"/>
      <c r="C215" s="277"/>
      <c r="D215" s="276"/>
      <c r="E215" s="276"/>
      <c r="F215" s="276"/>
      <c r="G215" s="276"/>
      <c r="H215" s="276"/>
      <c r="I215" s="276"/>
      <c r="J215" s="278"/>
      <c r="K215" s="278"/>
      <c r="L215" s="278"/>
      <c r="M215" s="278"/>
      <c r="N215" s="276"/>
      <c r="O215" s="276"/>
      <c r="P215" s="276"/>
      <c r="Q215" s="284"/>
      <c r="R215" s="27"/>
      <c r="S215" s="27"/>
      <c r="T215" s="27"/>
      <c r="U215" s="27"/>
      <c r="V215" s="27"/>
      <c r="W215" s="27"/>
      <c r="X215" s="29"/>
      <c r="Y215" s="29"/>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113"/>
      <c r="BC215" s="27"/>
      <c r="BD215" s="27"/>
      <c r="BE215" s="27"/>
      <c r="BF215" s="27"/>
      <c r="BG215" s="27"/>
      <c r="BH215" s="27"/>
      <c r="BI215" s="27"/>
      <c r="BJ215" s="27"/>
      <c r="BK215" s="27"/>
      <c r="BL215" s="27"/>
      <c r="BM215" s="27"/>
      <c r="BN215" s="27"/>
      <c r="BO215" s="27"/>
      <c r="BP215" s="87"/>
      <c r="BQ215" s="27"/>
      <c r="BR215" s="27"/>
      <c r="BS215" s="27"/>
      <c r="BT215" s="27"/>
      <c r="BU215" s="27"/>
      <c r="BV215" s="27"/>
      <c r="BW215" s="27"/>
      <c r="BX215" s="276"/>
      <c r="BY215" s="284"/>
      <c r="BZ215" s="276"/>
      <c r="CA215" s="276"/>
      <c r="CB215" s="276"/>
      <c r="CC215" s="276"/>
      <c r="CD215" s="276"/>
      <c r="CE215" s="276"/>
      <c r="CF215" s="276"/>
      <c r="CG215" s="276"/>
      <c r="CH215" s="276"/>
      <c r="CI215" s="276"/>
      <c r="CJ215" s="276"/>
      <c r="CK215" s="276"/>
      <c r="CL215" s="276"/>
      <c r="CM215" s="276"/>
      <c r="CN215" s="276"/>
      <c r="CO215" s="276"/>
      <c r="CP215" s="276"/>
      <c r="CQ215" s="276"/>
      <c r="CR215" s="276"/>
      <c r="CS215" s="276"/>
      <c r="CT215" s="276"/>
      <c r="CU215" s="276"/>
      <c r="CV215" s="276"/>
      <c r="CW215" s="276"/>
      <c r="CX215" s="276"/>
      <c r="CY215" s="276"/>
      <c r="CZ215" s="276"/>
    </row>
    <row r="216" spans="1:104" x14ac:dyDescent="0.35">
      <c r="A216" s="27"/>
      <c r="B216" s="276"/>
      <c r="C216" s="277"/>
      <c r="D216" s="276"/>
      <c r="E216" s="276"/>
      <c r="F216" s="276"/>
      <c r="G216" s="276"/>
      <c r="H216" s="276"/>
      <c r="I216" s="276"/>
      <c r="J216" s="278"/>
      <c r="K216" s="278"/>
      <c r="L216" s="278"/>
      <c r="M216" s="278"/>
      <c r="N216" s="276"/>
      <c r="O216" s="276"/>
      <c r="P216" s="276"/>
      <c r="Q216" s="284"/>
      <c r="R216" s="27"/>
      <c r="S216" s="27"/>
      <c r="T216" s="27"/>
      <c r="U216" s="27"/>
      <c r="V216" s="27"/>
      <c r="W216" s="27"/>
      <c r="X216" s="29"/>
      <c r="Y216" s="29"/>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113"/>
      <c r="BC216" s="27"/>
      <c r="BD216" s="27"/>
      <c r="BE216" s="27"/>
      <c r="BF216" s="27"/>
      <c r="BG216" s="27"/>
      <c r="BH216" s="27"/>
      <c r="BI216" s="27"/>
      <c r="BJ216" s="27"/>
      <c r="BK216" s="27"/>
      <c r="BL216" s="27"/>
      <c r="BM216" s="27"/>
      <c r="BN216" s="27"/>
      <c r="BO216" s="27"/>
      <c r="BP216" s="87"/>
      <c r="BQ216" s="27"/>
      <c r="BR216" s="27"/>
      <c r="BS216" s="27"/>
      <c r="BT216" s="27"/>
      <c r="BU216" s="27"/>
      <c r="BV216" s="27"/>
      <c r="BW216" s="27"/>
      <c r="BX216" s="276"/>
      <c r="BY216" s="284"/>
      <c r="BZ216" s="276"/>
      <c r="CA216" s="276"/>
      <c r="CB216" s="276"/>
      <c r="CC216" s="276"/>
      <c r="CD216" s="276"/>
      <c r="CE216" s="276"/>
      <c r="CF216" s="276"/>
      <c r="CG216" s="276"/>
      <c r="CH216" s="276"/>
      <c r="CI216" s="276"/>
      <c r="CJ216" s="276"/>
      <c r="CK216" s="276"/>
      <c r="CL216" s="276"/>
      <c r="CM216" s="276"/>
      <c r="CN216" s="276"/>
      <c r="CO216" s="276"/>
      <c r="CP216" s="276"/>
      <c r="CQ216" s="276"/>
      <c r="CR216" s="276"/>
      <c r="CS216" s="276"/>
      <c r="CT216" s="276"/>
      <c r="CU216" s="276"/>
      <c r="CV216" s="276"/>
      <c r="CW216" s="276"/>
      <c r="CX216" s="276"/>
      <c r="CY216" s="276"/>
      <c r="CZ216" s="276"/>
    </row>
    <row r="217" spans="1:104" x14ac:dyDescent="0.35">
      <c r="A217" s="27"/>
      <c r="B217" s="276"/>
      <c r="C217" s="277"/>
      <c r="D217" s="276"/>
      <c r="E217" s="276"/>
      <c r="F217" s="276"/>
      <c r="G217" s="276"/>
      <c r="H217" s="276"/>
      <c r="I217" s="276"/>
      <c r="J217" s="278"/>
      <c r="K217" s="278"/>
      <c r="L217" s="278"/>
      <c r="M217" s="278"/>
      <c r="N217" s="276"/>
      <c r="O217" s="276"/>
      <c r="P217" s="276"/>
      <c r="Q217" s="284"/>
      <c r="R217" s="27"/>
      <c r="S217" s="27"/>
      <c r="T217" s="27"/>
      <c r="U217" s="27"/>
      <c r="V217" s="27"/>
      <c r="W217" s="27"/>
      <c r="X217" s="29"/>
      <c r="Y217" s="29"/>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113"/>
      <c r="BC217" s="27"/>
      <c r="BD217" s="27"/>
      <c r="BE217" s="27"/>
      <c r="BF217" s="27"/>
      <c r="BG217" s="27"/>
      <c r="BH217" s="27"/>
      <c r="BI217" s="27"/>
      <c r="BJ217" s="27"/>
      <c r="BK217" s="27"/>
      <c r="BL217" s="27"/>
      <c r="BM217" s="27"/>
      <c r="BN217" s="27"/>
      <c r="BO217" s="27"/>
      <c r="BP217" s="87"/>
      <c r="BQ217" s="27"/>
      <c r="BR217" s="27"/>
      <c r="BS217" s="27"/>
      <c r="BT217" s="27"/>
      <c r="BU217" s="27"/>
      <c r="BV217" s="27"/>
      <c r="BW217" s="27"/>
      <c r="BX217" s="276"/>
      <c r="BY217" s="284"/>
      <c r="BZ217" s="276"/>
      <c r="CA217" s="276"/>
      <c r="CB217" s="276"/>
      <c r="CC217" s="276"/>
      <c r="CD217" s="276"/>
      <c r="CE217" s="276"/>
      <c r="CF217" s="276"/>
      <c r="CG217" s="276"/>
      <c r="CH217" s="276"/>
      <c r="CI217" s="276"/>
      <c r="CJ217" s="276"/>
      <c r="CK217" s="276"/>
      <c r="CL217" s="276"/>
      <c r="CM217" s="276"/>
      <c r="CN217" s="276"/>
      <c r="CO217" s="276"/>
      <c r="CP217" s="276"/>
      <c r="CQ217" s="276"/>
      <c r="CR217" s="276"/>
      <c r="CS217" s="276"/>
      <c r="CT217" s="276"/>
      <c r="CU217" s="276"/>
      <c r="CV217" s="276"/>
      <c r="CW217" s="276"/>
      <c r="CX217" s="276"/>
      <c r="CY217" s="276"/>
      <c r="CZ217" s="276"/>
    </row>
    <row r="218" spans="1:104" x14ac:dyDescent="0.35">
      <c r="A218" s="27"/>
      <c r="B218" s="276"/>
      <c r="C218" s="277"/>
      <c r="D218" s="276"/>
      <c r="E218" s="276"/>
      <c r="F218" s="276"/>
      <c r="G218" s="276"/>
      <c r="H218" s="276"/>
      <c r="I218" s="276"/>
      <c r="J218" s="278"/>
      <c r="K218" s="278"/>
      <c r="L218" s="278"/>
      <c r="M218" s="278"/>
      <c r="N218" s="276"/>
      <c r="O218" s="276"/>
      <c r="P218" s="276"/>
      <c r="Q218" s="284"/>
      <c r="R218" s="27"/>
      <c r="S218" s="27"/>
      <c r="T218" s="27"/>
      <c r="U218" s="27"/>
      <c r="V218" s="27"/>
      <c r="W218" s="27"/>
      <c r="X218" s="29"/>
      <c r="Y218" s="29"/>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113"/>
      <c r="BC218" s="27"/>
      <c r="BD218" s="27"/>
      <c r="BE218" s="27"/>
      <c r="BF218" s="27"/>
      <c r="BG218" s="27"/>
      <c r="BH218" s="27"/>
      <c r="BI218" s="27"/>
      <c r="BJ218" s="27"/>
      <c r="BK218" s="27"/>
      <c r="BL218" s="27"/>
      <c r="BM218" s="27"/>
      <c r="BN218" s="27"/>
      <c r="BO218" s="27"/>
      <c r="BP218" s="87"/>
      <c r="BQ218" s="27"/>
      <c r="BR218" s="27"/>
      <c r="BS218" s="27"/>
      <c r="BT218" s="27"/>
      <c r="BU218" s="27"/>
      <c r="BV218" s="27"/>
      <c r="BW218" s="27"/>
      <c r="BX218" s="276"/>
      <c r="BY218" s="284"/>
      <c r="BZ218" s="276"/>
      <c r="CA218" s="276"/>
      <c r="CB218" s="276"/>
      <c r="CC218" s="276"/>
      <c r="CD218" s="276"/>
      <c r="CE218" s="276"/>
      <c r="CF218" s="276"/>
      <c r="CG218" s="276"/>
      <c r="CH218" s="276"/>
      <c r="CI218" s="276"/>
      <c r="CJ218" s="276"/>
      <c r="CK218" s="276"/>
      <c r="CL218" s="276"/>
      <c r="CM218" s="276"/>
      <c r="CN218" s="276"/>
      <c r="CO218" s="276"/>
      <c r="CP218" s="276"/>
      <c r="CQ218" s="276"/>
      <c r="CR218" s="276"/>
      <c r="CS218" s="276"/>
      <c r="CT218" s="276"/>
      <c r="CU218" s="276"/>
      <c r="CV218" s="276"/>
      <c r="CW218" s="276"/>
      <c r="CX218" s="276"/>
      <c r="CY218" s="276"/>
      <c r="CZ218" s="276"/>
    </row>
    <row r="219" spans="1:104" x14ac:dyDescent="0.35">
      <c r="A219" s="27"/>
      <c r="B219" s="276"/>
      <c r="C219" s="277"/>
      <c r="D219" s="276"/>
      <c r="E219" s="276"/>
      <c r="F219" s="276"/>
      <c r="G219" s="276"/>
      <c r="H219" s="276"/>
      <c r="I219" s="276"/>
      <c r="J219" s="278"/>
      <c r="K219" s="278"/>
      <c r="L219" s="278"/>
      <c r="M219" s="278"/>
      <c r="N219" s="276"/>
      <c r="O219" s="276"/>
      <c r="P219" s="276"/>
      <c r="Q219" s="284"/>
      <c r="R219" s="27"/>
      <c r="S219" s="27"/>
      <c r="T219" s="27"/>
      <c r="U219" s="27"/>
      <c r="V219" s="27"/>
      <c r="W219" s="27"/>
      <c r="X219" s="29"/>
      <c r="Y219" s="29"/>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113"/>
      <c r="BC219" s="27"/>
      <c r="BD219" s="27"/>
      <c r="BE219" s="27"/>
      <c r="BF219" s="27"/>
      <c r="BG219" s="27"/>
      <c r="BH219" s="27"/>
      <c r="BI219" s="27"/>
      <c r="BJ219" s="27"/>
      <c r="BK219" s="27"/>
      <c r="BL219" s="27"/>
      <c r="BM219" s="27"/>
      <c r="BN219" s="27"/>
      <c r="BO219" s="27"/>
      <c r="BP219" s="87"/>
      <c r="BQ219" s="27"/>
      <c r="BR219" s="27"/>
      <c r="BS219" s="27"/>
      <c r="BT219" s="27"/>
      <c r="BU219" s="27"/>
      <c r="BV219" s="27"/>
      <c r="BW219" s="27"/>
      <c r="BX219" s="276"/>
      <c r="BY219" s="284"/>
      <c r="BZ219" s="276"/>
      <c r="CA219" s="276"/>
      <c r="CB219" s="276"/>
      <c r="CC219" s="276"/>
      <c r="CD219" s="276"/>
      <c r="CE219" s="276"/>
      <c r="CF219" s="276"/>
      <c r="CG219" s="276"/>
      <c r="CH219" s="276"/>
      <c r="CI219" s="276"/>
      <c r="CJ219" s="276"/>
      <c r="CK219" s="276"/>
      <c r="CL219" s="276"/>
      <c r="CM219" s="276"/>
      <c r="CN219" s="276"/>
      <c r="CO219" s="276"/>
      <c r="CP219" s="276"/>
      <c r="CQ219" s="276"/>
      <c r="CR219" s="276"/>
      <c r="CS219" s="276"/>
      <c r="CT219" s="276"/>
      <c r="CU219" s="276"/>
      <c r="CV219" s="276"/>
      <c r="CW219" s="276"/>
      <c r="CX219" s="276"/>
      <c r="CY219" s="276"/>
      <c r="CZ219" s="276"/>
    </row>
    <row r="220" spans="1:104" x14ac:dyDescent="0.35">
      <c r="A220" s="27"/>
      <c r="B220" s="276"/>
      <c r="C220" s="277"/>
      <c r="D220" s="276"/>
      <c r="E220" s="276"/>
      <c r="F220" s="276"/>
      <c r="G220" s="276"/>
      <c r="H220" s="276"/>
      <c r="I220" s="276"/>
      <c r="J220" s="278"/>
      <c r="K220" s="278"/>
      <c r="L220" s="278"/>
      <c r="M220" s="278"/>
      <c r="N220" s="276"/>
      <c r="O220" s="276"/>
      <c r="P220" s="276"/>
      <c r="Q220" s="284"/>
      <c r="R220" s="27"/>
      <c r="S220" s="27"/>
      <c r="T220" s="27"/>
      <c r="U220" s="27"/>
      <c r="V220" s="27"/>
      <c r="W220" s="27"/>
      <c r="X220" s="29"/>
      <c r="Y220" s="29"/>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113"/>
      <c r="BC220" s="27"/>
      <c r="BD220" s="27"/>
      <c r="BE220" s="27"/>
      <c r="BF220" s="27"/>
      <c r="BG220" s="27"/>
      <c r="BH220" s="27"/>
      <c r="BI220" s="27"/>
      <c r="BJ220" s="27"/>
      <c r="BK220" s="27"/>
      <c r="BL220" s="27"/>
      <c r="BM220" s="27"/>
      <c r="BN220" s="27"/>
      <c r="BO220" s="27"/>
      <c r="BP220" s="87"/>
      <c r="BQ220" s="27"/>
      <c r="BR220" s="27"/>
      <c r="BS220" s="27"/>
      <c r="BT220" s="27"/>
      <c r="BU220" s="27"/>
      <c r="BV220" s="27"/>
      <c r="BW220" s="27"/>
      <c r="BX220" s="276"/>
      <c r="BY220" s="284"/>
      <c r="BZ220" s="276"/>
      <c r="CA220" s="276"/>
      <c r="CB220" s="276"/>
      <c r="CC220" s="276"/>
      <c r="CD220" s="276"/>
      <c r="CE220" s="276"/>
      <c r="CF220" s="276"/>
      <c r="CG220" s="276"/>
      <c r="CH220" s="276"/>
      <c r="CI220" s="276"/>
      <c r="CJ220" s="276"/>
      <c r="CK220" s="276"/>
      <c r="CL220" s="276"/>
      <c r="CM220" s="276"/>
      <c r="CN220" s="276"/>
      <c r="CO220" s="276"/>
      <c r="CP220" s="276"/>
      <c r="CQ220" s="276"/>
      <c r="CR220" s="276"/>
      <c r="CS220" s="276"/>
      <c r="CT220" s="276"/>
      <c r="CU220" s="276"/>
      <c r="CV220" s="276"/>
      <c r="CW220" s="276"/>
      <c r="CX220" s="276"/>
      <c r="CY220" s="276"/>
      <c r="CZ220" s="276"/>
    </row>
    <row r="221" spans="1:104" x14ac:dyDescent="0.35">
      <c r="A221" s="27"/>
      <c r="B221" s="276"/>
      <c r="C221" s="277"/>
      <c r="D221" s="276"/>
      <c r="E221" s="276"/>
      <c r="F221" s="276"/>
      <c r="G221" s="276"/>
      <c r="H221" s="276"/>
      <c r="I221" s="276"/>
      <c r="J221" s="278"/>
      <c r="K221" s="278"/>
      <c r="L221" s="278"/>
      <c r="M221" s="278"/>
      <c r="N221" s="276"/>
      <c r="O221" s="276"/>
      <c r="P221" s="276"/>
      <c r="Q221" s="284"/>
      <c r="R221" s="27"/>
      <c r="S221" s="27"/>
      <c r="T221" s="27"/>
      <c r="U221" s="27"/>
      <c r="V221" s="27"/>
      <c r="W221" s="27"/>
      <c r="X221" s="29"/>
      <c r="Y221" s="29"/>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113"/>
      <c r="BC221" s="27"/>
      <c r="BD221" s="27"/>
      <c r="BE221" s="27"/>
      <c r="BF221" s="27"/>
      <c r="BG221" s="27"/>
      <c r="BH221" s="27"/>
      <c r="BI221" s="27"/>
      <c r="BJ221" s="27"/>
      <c r="BK221" s="27"/>
      <c r="BL221" s="27"/>
      <c r="BM221" s="27"/>
      <c r="BN221" s="27"/>
      <c r="BO221" s="27"/>
      <c r="BP221" s="87"/>
      <c r="BQ221" s="27"/>
      <c r="BR221" s="27"/>
      <c r="BS221" s="27"/>
      <c r="BT221" s="27"/>
      <c r="BU221" s="27"/>
      <c r="BV221" s="27"/>
      <c r="BW221" s="27"/>
      <c r="BX221" s="276"/>
      <c r="BY221" s="284"/>
      <c r="BZ221" s="276"/>
      <c r="CA221" s="276"/>
      <c r="CB221" s="276"/>
      <c r="CC221" s="276"/>
      <c r="CD221" s="276"/>
      <c r="CE221" s="276"/>
      <c r="CF221" s="276"/>
      <c r="CG221" s="276"/>
      <c r="CH221" s="276"/>
      <c r="CI221" s="276"/>
      <c r="CJ221" s="276"/>
      <c r="CK221" s="276"/>
      <c r="CL221" s="276"/>
      <c r="CM221" s="276"/>
      <c r="CN221" s="276"/>
      <c r="CO221" s="276"/>
      <c r="CP221" s="276"/>
      <c r="CQ221" s="276"/>
      <c r="CR221" s="276"/>
      <c r="CS221" s="276"/>
      <c r="CT221" s="276"/>
      <c r="CU221" s="276"/>
      <c r="CV221" s="276"/>
      <c r="CW221" s="276"/>
      <c r="CX221" s="276"/>
      <c r="CY221" s="276"/>
      <c r="CZ221" s="276"/>
    </row>
    <row r="222" spans="1:104" x14ac:dyDescent="0.35">
      <c r="A222" s="27"/>
      <c r="B222" s="276"/>
      <c r="C222" s="277"/>
      <c r="D222" s="276"/>
      <c r="E222" s="276"/>
      <c r="F222" s="276"/>
      <c r="G222" s="276"/>
      <c r="H222" s="276"/>
      <c r="I222" s="276"/>
      <c r="J222" s="278"/>
      <c r="K222" s="278"/>
      <c r="L222" s="278"/>
      <c r="M222" s="278"/>
      <c r="N222" s="276"/>
      <c r="O222" s="276"/>
      <c r="P222" s="276"/>
      <c r="Q222" s="284"/>
      <c r="R222" s="27"/>
      <c r="S222" s="27"/>
      <c r="T222" s="27"/>
      <c r="U222" s="27"/>
      <c r="V222" s="27"/>
      <c r="W222" s="27"/>
      <c r="X222" s="29"/>
      <c r="Y222" s="29"/>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113"/>
      <c r="BC222" s="27"/>
      <c r="BD222" s="27"/>
      <c r="BE222" s="27"/>
      <c r="BF222" s="27"/>
      <c r="BG222" s="27"/>
      <c r="BH222" s="27"/>
      <c r="BI222" s="27"/>
      <c r="BJ222" s="27"/>
      <c r="BK222" s="27"/>
      <c r="BL222" s="27"/>
      <c r="BM222" s="27"/>
      <c r="BN222" s="27"/>
      <c r="BO222" s="27"/>
      <c r="BP222" s="87"/>
      <c r="BQ222" s="27"/>
      <c r="BR222" s="27"/>
      <c r="BS222" s="27"/>
      <c r="BT222" s="27"/>
      <c r="BU222" s="27"/>
      <c r="BV222" s="27"/>
      <c r="BW222" s="27"/>
      <c r="BX222" s="276"/>
      <c r="BY222" s="284"/>
      <c r="BZ222" s="276"/>
      <c r="CA222" s="276"/>
      <c r="CB222" s="276"/>
      <c r="CC222" s="276"/>
      <c r="CD222" s="276"/>
      <c r="CE222" s="276"/>
      <c r="CF222" s="276"/>
      <c r="CG222" s="276"/>
      <c r="CH222" s="276"/>
      <c r="CI222" s="276"/>
      <c r="CJ222" s="276"/>
      <c r="CK222" s="276"/>
      <c r="CL222" s="276"/>
      <c r="CM222" s="276"/>
      <c r="CN222" s="276"/>
      <c r="CO222" s="276"/>
      <c r="CP222" s="276"/>
      <c r="CQ222" s="276"/>
      <c r="CR222" s="276"/>
      <c r="CS222" s="276"/>
      <c r="CT222" s="276"/>
      <c r="CU222" s="276"/>
      <c r="CV222" s="276"/>
      <c r="CW222" s="276"/>
      <c r="CX222" s="276"/>
      <c r="CY222" s="276"/>
      <c r="CZ222" s="276"/>
    </row>
    <row r="223" spans="1:104" x14ac:dyDescent="0.35">
      <c r="A223" s="27"/>
      <c r="B223" s="276"/>
      <c r="C223" s="277"/>
      <c r="D223" s="276"/>
      <c r="E223" s="276"/>
      <c r="F223" s="276"/>
      <c r="G223" s="276"/>
      <c r="H223" s="276"/>
      <c r="I223" s="276"/>
      <c r="J223" s="278"/>
      <c r="K223" s="278"/>
      <c r="L223" s="278"/>
      <c r="M223" s="278"/>
      <c r="N223" s="276"/>
      <c r="O223" s="276"/>
      <c r="P223" s="276"/>
      <c r="Q223" s="284"/>
      <c r="R223" s="27"/>
      <c r="S223" s="27"/>
      <c r="T223" s="27"/>
      <c r="U223" s="27"/>
      <c r="V223" s="27"/>
      <c r="W223" s="27"/>
      <c r="X223" s="29"/>
      <c r="Y223" s="29"/>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113"/>
      <c r="BC223" s="27"/>
      <c r="BD223" s="27"/>
      <c r="BE223" s="27"/>
      <c r="BF223" s="27"/>
      <c r="BG223" s="27"/>
      <c r="BH223" s="27"/>
      <c r="BI223" s="27"/>
      <c r="BJ223" s="27"/>
      <c r="BK223" s="27"/>
      <c r="BL223" s="27"/>
      <c r="BM223" s="27"/>
      <c r="BN223" s="27"/>
      <c r="BO223" s="27"/>
      <c r="BP223" s="87"/>
      <c r="BQ223" s="27"/>
      <c r="BR223" s="27"/>
      <c r="BS223" s="27"/>
      <c r="BT223" s="27"/>
      <c r="BU223" s="27"/>
      <c r="BV223" s="27"/>
      <c r="BW223" s="27"/>
      <c r="BX223" s="276"/>
      <c r="BY223" s="284"/>
      <c r="BZ223" s="276"/>
      <c r="CA223" s="276"/>
      <c r="CB223" s="276"/>
      <c r="CC223" s="276"/>
      <c r="CD223" s="276"/>
      <c r="CE223" s="276"/>
      <c r="CF223" s="276"/>
      <c r="CG223" s="276"/>
      <c r="CH223" s="276"/>
      <c r="CI223" s="276"/>
      <c r="CJ223" s="276"/>
      <c r="CK223" s="276"/>
      <c r="CL223" s="276"/>
      <c r="CM223" s="276"/>
      <c r="CN223" s="276"/>
      <c r="CO223" s="276"/>
      <c r="CP223" s="276"/>
      <c r="CQ223" s="276"/>
      <c r="CR223" s="276"/>
      <c r="CS223" s="276"/>
      <c r="CT223" s="276"/>
      <c r="CU223" s="276"/>
      <c r="CV223" s="276"/>
      <c r="CW223" s="276"/>
      <c r="CX223" s="276"/>
      <c r="CY223" s="276"/>
      <c r="CZ223" s="276"/>
    </row>
    <row r="224" spans="1:104" x14ac:dyDescent="0.35">
      <c r="A224" s="27"/>
      <c r="B224" s="276"/>
      <c r="C224" s="277"/>
      <c r="D224" s="276"/>
      <c r="E224" s="276"/>
      <c r="F224" s="276"/>
      <c r="G224" s="276"/>
      <c r="H224" s="276"/>
      <c r="I224" s="276"/>
      <c r="J224" s="278"/>
      <c r="K224" s="278"/>
      <c r="L224" s="278"/>
      <c r="M224" s="278"/>
      <c r="N224" s="276"/>
      <c r="O224" s="276"/>
      <c r="P224" s="276"/>
      <c r="Q224" s="284"/>
      <c r="R224" s="27"/>
      <c r="S224" s="27"/>
      <c r="T224" s="27"/>
      <c r="U224" s="27"/>
      <c r="V224" s="27"/>
      <c r="W224" s="27"/>
      <c r="X224" s="29"/>
      <c r="Y224" s="29"/>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113"/>
      <c r="BC224" s="27"/>
      <c r="BD224" s="27"/>
      <c r="BE224" s="27"/>
      <c r="BF224" s="27"/>
      <c r="BG224" s="27"/>
      <c r="BH224" s="27"/>
      <c r="BI224" s="27"/>
      <c r="BJ224" s="27"/>
      <c r="BK224" s="27"/>
      <c r="BL224" s="27"/>
      <c r="BM224" s="27"/>
      <c r="BN224" s="27"/>
      <c r="BO224" s="27"/>
      <c r="BP224" s="87"/>
      <c r="BQ224" s="27"/>
      <c r="BR224" s="27"/>
      <c r="BS224" s="27"/>
      <c r="BT224" s="27"/>
      <c r="BU224" s="27"/>
      <c r="BV224" s="27"/>
      <c r="BW224" s="27"/>
      <c r="BX224" s="276"/>
      <c r="BY224" s="284"/>
      <c r="BZ224" s="276"/>
      <c r="CA224" s="276"/>
      <c r="CB224" s="276"/>
      <c r="CC224" s="276"/>
      <c r="CD224" s="276"/>
      <c r="CE224" s="276"/>
      <c r="CF224" s="276"/>
      <c r="CG224" s="276"/>
      <c r="CH224" s="276"/>
      <c r="CI224" s="276"/>
      <c r="CJ224" s="276"/>
      <c r="CK224" s="276"/>
      <c r="CL224" s="276"/>
      <c r="CM224" s="276"/>
      <c r="CN224" s="276"/>
      <c r="CO224" s="276"/>
      <c r="CP224" s="276"/>
      <c r="CQ224" s="276"/>
      <c r="CR224" s="276"/>
      <c r="CS224" s="276"/>
      <c r="CT224" s="276"/>
      <c r="CU224" s="276"/>
      <c r="CV224" s="276"/>
      <c r="CW224" s="276"/>
      <c r="CX224" s="276"/>
      <c r="CY224" s="276"/>
      <c r="CZ224" s="276"/>
    </row>
    <row r="225" spans="1:104" x14ac:dyDescent="0.35">
      <c r="A225" s="27"/>
      <c r="B225" s="276"/>
      <c r="C225" s="277"/>
      <c r="D225" s="276"/>
      <c r="E225" s="276"/>
      <c r="F225" s="276"/>
      <c r="G225" s="276"/>
      <c r="H225" s="276"/>
      <c r="I225" s="276"/>
      <c r="J225" s="278"/>
      <c r="K225" s="278"/>
      <c r="L225" s="278"/>
      <c r="M225" s="278"/>
      <c r="N225" s="276"/>
      <c r="O225" s="276"/>
      <c r="P225" s="276"/>
      <c r="Q225" s="284"/>
      <c r="R225" s="27"/>
      <c r="S225" s="27"/>
      <c r="T225" s="27"/>
      <c r="U225" s="27"/>
      <c r="V225" s="27"/>
      <c r="W225" s="27"/>
      <c r="X225" s="29"/>
      <c r="Y225" s="29"/>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113"/>
      <c r="BC225" s="27"/>
      <c r="BD225" s="27"/>
      <c r="BE225" s="27"/>
      <c r="BF225" s="27"/>
      <c r="BG225" s="27"/>
      <c r="BH225" s="27"/>
      <c r="BI225" s="27"/>
      <c r="BJ225" s="27"/>
      <c r="BK225" s="27"/>
      <c r="BL225" s="27"/>
      <c r="BM225" s="27"/>
      <c r="BN225" s="27"/>
      <c r="BO225" s="27"/>
      <c r="BP225" s="87"/>
      <c r="BQ225" s="27"/>
      <c r="BR225" s="27"/>
      <c r="BS225" s="27"/>
      <c r="BT225" s="27"/>
      <c r="BU225" s="27"/>
      <c r="BV225" s="27"/>
      <c r="BW225" s="27"/>
      <c r="BX225" s="276"/>
      <c r="BY225" s="284"/>
      <c r="BZ225" s="276"/>
      <c r="CA225" s="276"/>
      <c r="CB225" s="276"/>
      <c r="CC225" s="276"/>
      <c r="CD225" s="276"/>
      <c r="CE225" s="276"/>
      <c r="CF225" s="276"/>
      <c r="CG225" s="276"/>
      <c r="CH225" s="276"/>
      <c r="CI225" s="276"/>
      <c r="CJ225" s="276"/>
      <c r="CK225" s="276"/>
      <c r="CL225" s="276"/>
      <c r="CM225" s="276"/>
      <c r="CN225" s="276"/>
      <c r="CO225" s="276"/>
      <c r="CP225" s="276"/>
      <c r="CQ225" s="276"/>
      <c r="CR225" s="276"/>
      <c r="CS225" s="276"/>
      <c r="CT225" s="276"/>
      <c r="CU225" s="276"/>
      <c r="CV225" s="276"/>
      <c r="CW225" s="276"/>
      <c r="CX225" s="276"/>
      <c r="CY225" s="276"/>
      <c r="CZ225" s="276"/>
    </row>
    <row r="226" spans="1:104" x14ac:dyDescent="0.35">
      <c r="A226" s="27"/>
      <c r="B226" s="276"/>
      <c r="C226" s="277"/>
      <c r="D226" s="276"/>
      <c r="E226" s="276"/>
      <c r="F226" s="276"/>
      <c r="G226" s="276"/>
      <c r="H226" s="276"/>
      <c r="I226" s="276"/>
      <c r="J226" s="278"/>
      <c r="K226" s="278"/>
      <c r="L226" s="278"/>
      <c r="M226" s="278"/>
      <c r="N226" s="276"/>
      <c r="O226" s="276"/>
      <c r="P226" s="276"/>
      <c r="Q226" s="284"/>
      <c r="R226" s="27"/>
      <c r="S226" s="27"/>
      <c r="T226" s="27"/>
      <c r="U226" s="27"/>
      <c r="V226" s="27"/>
      <c r="W226" s="27"/>
      <c r="X226" s="29"/>
      <c r="Y226" s="29"/>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113"/>
      <c r="BC226" s="27"/>
      <c r="BD226" s="27"/>
      <c r="BE226" s="27"/>
      <c r="BF226" s="27"/>
      <c r="BG226" s="27"/>
      <c r="BH226" s="27"/>
      <c r="BI226" s="27"/>
      <c r="BJ226" s="27"/>
      <c r="BK226" s="27"/>
      <c r="BL226" s="27"/>
      <c r="BM226" s="27"/>
      <c r="BN226" s="27"/>
      <c r="BO226" s="27"/>
      <c r="BP226" s="87"/>
      <c r="BQ226" s="27"/>
      <c r="BR226" s="27"/>
      <c r="BS226" s="27"/>
      <c r="BT226" s="27"/>
      <c r="BU226" s="27"/>
      <c r="BV226" s="27"/>
      <c r="BW226" s="27"/>
      <c r="BX226" s="276"/>
      <c r="BY226" s="284"/>
      <c r="BZ226" s="276"/>
      <c r="CA226" s="276"/>
      <c r="CB226" s="276"/>
      <c r="CC226" s="276"/>
      <c r="CD226" s="276"/>
      <c r="CE226" s="276"/>
      <c r="CF226" s="276"/>
      <c r="CG226" s="276"/>
      <c r="CH226" s="276"/>
      <c r="CI226" s="276"/>
      <c r="CJ226" s="276"/>
      <c r="CK226" s="276"/>
      <c r="CL226" s="276"/>
      <c r="CM226" s="276"/>
      <c r="CN226" s="276"/>
      <c r="CO226" s="276"/>
      <c r="CP226" s="276"/>
      <c r="CQ226" s="276"/>
      <c r="CR226" s="276"/>
      <c r="CS226" s="276"/>
      <c r="CT226" s="276"/>
      <c r="CU226" s="276"/>
      <c r="CV226" s="276"/>
      <c r="CW226" s="276"/>
      <c r="CX226" s="276"/>
      <c r="CY226" s="276"/>
      <c r="CZ226" s="276"/>
    </row>
    <row r="227" spans="1:104" x14ac:dyDescent="0.35">
      <c r="A227" s="27"/>
      <c r="B227" s="276"/>
      <c r="C227" s="277"/>
      <c r="D227" s="276"/>
      <c r="E227" s="276"/>
      <c r="F227" s="276"/>
      <c r="G227" s="276"/>
      <c r="H227" s="276"/>
      <c r="I227" s="276"/>
      <c r="J227" s="278"/>
      <c r="K227" s="278"/>
      <c r="L227" s="278"/>
      <c r="M227" s="278"/>
      <c r="N227" s="276"/>
      <c r="O227" s="276"/>
      <c r="P227" s="276"/>
      <c r="Q227" s="284"/>
      <c r="R227" s="27"/>
      <c r="S227" s="27"/>
      <c r="T227" s="27"/>
      <c r="U227" s="27"/>
      <c r="V227" s="27"/>
      <c r="W227" s="27"/>
      <c r="X227" s="29"/>
      <c r="Y227" s="29"/>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113"/>
      <c r="BC227" s="27"/>
      <c r="BD227" s="27"/>
      <c r="BE227" s="27"/>
      <c r="BF227" s="27"/>
      <c r="BG227" s="27"/>
      <c r="BH227" s="27"/>
      <c r="BI227" s="27"/>
      <c r="BJ227" s="27"/>
      <c r="BK227" s="27"/>
      <c r="BL227" s="27"/>
      <c r="BM227" s="27"/>
      <c r="BN227" s="27"/>
      <c r="BO227" s="27"/>
      <c r="BP227" s="87"/>
      <c r="BQ227" s="27"/>
      <c r="BR227" s="27"/>
      <c r="BS227" s="27"/>
      <c r="BT227" s="27"/>
      <c r="BU227" s="27"/>
      <c r="BV227" s="27"/>
      <c r="BW227" s="27"/>
      <c r="BX227" s="276"/>
      <c r="BY227" s="284"/>
      <c r="BZ227" s="276"/>
      <c r="CA227" s="276"/>
      <c r="CB227" s="276"/>
      <c r="CC227" s="276"/>
      <c r="CD227" s="276"/>
      <c r="CE227" s="276"/>
      <c r="CF227" s="276"/>
      <c r="CG227" s="276"/>
      <c r="CH227" s="276"/>
      <c r="CI227" s="276"/>
      <c r="CJ227" s="276"/>
      <c r="CK227" s="276"/>
      <c r="CL227" s="276"/>
      <c r="CM227" s="276"/>
      <c r="CN227" s="276"/>
      <c r="CO227" s="276"/>
      <c r="CP227" s="276"/>
      <c r="CQ227" s="276"/>
      <c r="CR227" s="276"/>
      <c r="CS227" s="276"/>
      <c r="CT227" s="276"/>
      <c r="CU227" s="276"/>
      <c r="CV227" s="276"/>
      <c r="CW227" s="276"/>
      <c r="CX227" s="276"/>
      <c r="CY227" s="276"/>
      <c r="CZ227" s="276"/>
    </row>
    <row r="228" spans="1:104" x14ac:dyDescent="0.35">
      <c r="A228" s="27"/>
      <c r="B228" s="276"/>
      <c r="C228" s="277"/>
      <c r="D228" s="276"/>
      <c r="E228" s="276"/>
      <c r="F228" s="276"/>
      <c r="G228" s="276"/>
      <c r="H228" s="276"/>
      <c r="I228" s="276"/>
      <c r="J228" s="278"/>
      <c r="K228" s="278"/>
      <c r="L228" s="278"/>
      <c r="M228" s="278"/>
      <c r="N228" s="276"/>
      <c r="O228" s="276"/>
      <c r="P228" s="276"/>
      <c r="Q228" s="284"/>
      <c r="R228" s="27"/>
      <c r="S228" s="27"/>
      <c r="T228" s="27"/>
      <c r="U228" s="27"/>
      <c r="V228" s="27"/>
      <c r="W228" s="27"/>
      <c r="X228" s="29"/>
      <c r="Y228" s="29"/>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113"/>
      <c r="BC228" s="27"/>
      <c r="BD228" s="27"/>
      <c r="BE228" s="27"/>
      <c r="BF228" s="27"/>
      <c r="BG228" s="27"/>
      <c r="BH228" s="27"/>
      <c r="BI228" s="27"/>
      <c r="BJ228" s="27"/>
      <c r="BK228" s="27"/>
      <c r="BL228" s="27"/>
      <c r="BM228" s="27"/>
      <c r="BN228" s="27"/>
      <c r="BO228" s="27"/>
      <c r="BP228" s="87"/>
      <c r="BQ228" s="27"/>
      <c r="BR228" s="27"/>
      <c r="BS228" s="27"/>
      <c r="BT228" s="27"/>
      <c r="BU228" s="27"/>
      <c r="BV228" s="27"/>
      <c r="BW228" s="27"/>
      <c r="BX228" s="276"/>
      <c r="BY228" s="284"/>
      <c r="BZ228" s="276"/>
      <c r="CA228" s="276"/>
      <c r="CB228" s="276"/>
      <c r="CC228" s="276"/>
      <c r="CD228" s="276"/>
      <c r="CE228" s="276"/>
      <c r="CF228" s="276"/>
      <c r="CG228" s="276"/>
      <c r="CH228" s="276"/>
      <c r="CI228" s="276"/>
      <c r="CJ228" s="276"/>
      <c r="CK228" s="276"/>
      <c r="CL228" s="276"/>
      <c r="CM228" s="276"/>
      <c r="CN228" s="276"/>
      <c r="CO228" s="276"/>
      <c r="CP228" s="276"/>
      <c r="CQ228" s="276"/>
      <c r="CR228" s="276"/>
      <c r="CS228" s="276"/>
      <c r="CT228" s="276"/>
      <c r="CU228" s="276"/>
      <c r="CV228" s="276"/>
      <c r="CW228" s="276"/>
      <c r="CX228" s="276"/>
      <c r="CY228" s="276"/>
      <c r="CZ228" s="276"/>
    </row>
    <row r="229" spans="1:104" x14ac:dyDescent="0.35">
      <c r="A229" s="27"/>
      <c r="B229" s="276"/>
      <c r="C229" s="277"/>
      <c r="D229" s="276"/>
      <c r="E229" s="276"/>
      <c r="F229" s="276"/>
      <c r="G229" s="276"/>
      <c r="H229" s="276"/>
      <c r="I229" s="276"/>
      <c r="J229" s="278"/>
      <c r="K229" s="278"/>
      <c r="L229" s="278"/>
      <c r="M229" s="278"/>
      <c r="N229" s="276"/>
      <c r="O229" s="276"/>
      <c r="P229" s="276"/>
      <c r="Q229" s="284"/>
      <c r="R229" s="27"/>
      <c r="S229" s="27"/>
      <c r="T229" s="27"/>
      <c r="U229" s="27"/>
      <c r="V229" s="27"/>
      <c r="W229" s="27"/>
      <c r="X229" s="29"/>
      <c r="Y229" s="29"/>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113"/>
      <c r="BC229" s="27"/>
      <c r="BD229" s="27"/>
      <c r="BE229" s="27"/>
      <c r="BF229" s="27"/>
      <c r="BG229" s="27"/>
      <c r="BH229" s="27"/>
      <c r="BI229" s="27"/>
      <c r="BJ229" s="27"/>
      <c r="BK229" s="27"/>
      <c r="BL229" s="27"/>
      <c r="BM229" s="27"/>
      <c r="BN229" s="27"/>
      <c r="BO229" s="27"/>
      <c r="BP229" s="87"/>
      <c r="BQ229" s="27"/>
      <c r="BR229" s="27"/>
      <c r="BS229" s="27"/>
      <c r="BT229" s="27"/>
      <c r="BU229" s="27"/>
      <c r="BV229" s="27"/>
      <c r="BW229" s="27"/>
      <c r="BX229" s="276"/>
      <c r="BY229" s="284"/>
      <c r="BZ229" s="276"/>
      <c r="CA229" s="276"/>
      <c r="CB229" s="276"/>
      <c r="CC229" s="276"/>
      <c r="CD229" s="276"/>
      <c r="CE229" s="276"/>
      <c r="CF229" s="276"/>
      <c r="CG229" s="276"/>
      <c r="CH229" s="276"/>
      <c r="CI229" s="276"/>
      <c r="CJ229" s="276"/>
      <c r="CK229" s="276"/>
      <c r="CL229" s="276"/>
      <c r="CM229" s="276"/>
      <c r="CN229" s="276"/>
      <c r="CO229" s="276"/>
      <c r="CP229" s="276"/>
      <c r="CQ229" s="276"/>
      <c r="CR229" s="276"/>
      <c r="CS229" s="276"/>
      <c r="CT229" s="276"/>
      <c r="CU229" s="276"/>
      <c r="CV229" s="276"/>
      <c r="CW229" s="276"/>
      <c r="CX229" s="276"/>
      <c r="CY229" s="276"/>
      <c r="CZ229" s="276"/>
    </row>
    <row r="230" spans="1:104" x14ac:dyDescent="0.35">
      <c r="A230" s="27"/>
      <c r="B230" s="276"/>
      <c r="C230" s="277"/>
      <c r="D230" s="276"/>
      <c r="E230" s="276"/>
      <c r="F230" s="276"/>
      <c r="G230" s="276"/>
      <c r="H230" s="276"/>
      <c r="I230" s="276"/>
      <c r="J230" s="278"/>
      <c r="K230" s="278"/>
      <c r="L230" s="278"/>
      <c r="M230" s="278"/>
      <c r="N230" s="276"/>
      <c r="O230" s="276"/>
      <c r="P230" s="276"/>
      <c r="Q230" s="284"/>
      <c r="R230" s="27"/>
      <c r="S230" s="27"/>
      <c r="T230" s="27"/>
      <c r="U230" s="27"/>
      <c r="V230" s="27"/>
      <c r="W230" s="27"/>
      <c r="X230" s="29"/>
      <c r="Y230" s="29"/>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113"/>
      <c r="BC230" s="27"/>
      <c r="BD230" s="27"/>
      <c r="BE230" s="27"/>
      <c r="BF230" s="27"/>
      <c r="BG230" s="27"/>
      <c r="BH230" s="27"/>
      <c r="BI230" s="27"/>
      <c r="BJ230" s="27"/>
      <c r="BK230" s="27"/>
      <c r="BL230" s="27"/>
      <c r="BM230" s="27"/>
      <c r="BN230" s="27"/>
      <c r="BO230" s="27"/>
      <c r="BP230" s="87"/>
      <c r="BQ230" s="27"/>
      <c r="BR230" s="27"/>
      <c r="BS230" s="27"/>
      <c r="BT230" s="27"/>
      <c r="BU230" s="27"/>
      <c r="BV230" s="27"/>
      <c r="BW230" s="27"/>
      <c r="BX230" s="276"/>
      <c r="BY230" s="284"/>
      <c r="BZ230" s="276"/>
      <c r="CA230" s="276"/>
      <c r="CB230" s="276"/>
      <c r="CC230" s="276"/>
      <c r="CD230" s="276"/>
      <c r="CE230" s="276"/>
      <c r="CF230" s="276"/>
      <c r="CG230" s="276"/>
      <c r="CH230" s="276"/>
      <c r="CI230" s="276"/>
      <c r="CJ230" s="276"/>
      <c r="CK230" s="276"/>
      <c r="CL230" s="276"/>
      <c r="CM230" s="276"/>
      <c r="CN230" s="276"/>
      <c r="CO230" s="276"/>
      <c r="CP230" s="276"/>
      <c r="CQ230" s="276"/>
      <c r="CR230" s="276"/>
      <c r="CS230" s="276"/>
      <c r="CT230" s="276"/>
      <c r="CU230" s="276"/>
      <c r="CV230" s="276"/>
      <c r="CW230" s="276"/>
      <c r="CX230" s="276"/>
      <c r="CY230" s="276"/>
      <c r="CZ230" s="276"/>
    </row>
    <row r="231" spans="1:104" x14ac:dyDescent="0.35">
      <c r="A231" s="27"/>
      <c r="B231" s="276"/>
      <c r="C231" s="277"/>
      <c r="D231" s="276"/>
      <c r="E231" s="276"/>
      <c r="F231" s="276"/>
      <c r="G231" s="276"/>
      <c r="H231" s="276"/>
      <c r="I231" s="276"/>
      <c r="J231" s="278"/>
      <c r="K231" s="278"/>
      <c r="L231" s="278"/>
      <c r="M231" s="278"/>
      <c r="N231" s="276"/>
      <c r="O231" s="276"/>
      <c r="P231" s="276"/>
      <c r="Q231" s="284"/>
      <c r="R231" s="27"/>
      <c r="S231" s="27"/>
      <c r="T231" s="27"/>
      <c r="U231" s="27"/>
      <c r="V231" s="27"/>
      <c r="W231" s="27"/>
      <c r="X231" s="29"/>
      <c r="Y231" s="29"/>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113"/>
      <c r="BC231" s="27"/>
      <c r="BD231" s="27"/>
      <c r="BE231" s="27"/>
      <c r="BF231" s="27"/>
      <c r="BG231" s="27"/>
      <c r="BH231" s="27"/>
      <c r="BI231" s="27"/>
      <c r="BJ231" s="27"/>
      <c r="BK231" s="27"/>
      <c r="BL231" s="27"/>
      <c r="BM231" s="27"/>
      <c r="BN231" s="27"/>
      <c r="BO231" s="27"/>
      <c r="BP231" s="87"/>
      <c r="BQ231" s="27"/>
      <c r="BR231" s="27"/>
      <c r="BS231" s="27"/>
      <c r="BT231" s="27"/>
      <c r="BU231" s="27"/>
      <c r="BV231" s="27"/>
      <c r="BW231" s="27"/>
      <c r="BX231" s="276"/>
      <c r="BY231" s="284"/>
      <c r="BZ231" s="276"/>
      <c r="CA231" s="276"/>
      <c r="CB231" s="276"/>
      <c r="CC231" s="276"/>
      <c r="CD231" s="276"/>
      <c r="CE231" s="276"/>
      <c r="CF231" s="276"/>
      <c r="CG231" s="276"/>
      <c r="CH231" s="276"/>
      <c r="CI231" s="276"/>
      <c r="CJ231" s="276"/>
      <c r="CK231" s="276"/>
      <c r="CL231" s="276"/>
      <c r="CM231" s="276"/>
      <c r="CN231" s="276"/>
      <c r="CO231" s="276"/>
      <c r="CP231" s="276"/>
      <c r="CQ231" s="276"/>
      <c r="CR231" s="276"/>
      <c r="CS231" s="276"/>
      <c r="CT231" s="276"/>
      <c r="CU231" s="276"/>
      <c r="CV231" s="276"/>
      <c r="CW231" s="276"/>
      <c r="CX231" s="276"/>
      <c r="CY231" s="276"/>
      <c r="CZ231" s="276"/>
    </row>
  </sheetData>
  <sheetProtection algorithmName="SHA-512" hashValue="vrhWBxfqT/jwPFWnZHxvPEKjg9Rphn8kNPLJ6jaf1wXxTv/0sYe/ZGN4G4xK8K9Qn/pg0jIjMkptUQ6r7k+XDQ==" saltValue="xLCwmf/R7OihstYl8GBAvor/cPiHbg613D3oDkK6/h19yOQFC3kJEGbSZgetuQdtXUPHZ5v+0toh1vN/vzx71UqVRF7pO4fc8kgbqe2GKm72Kbd/lRTwWmm4+C0MXgjMhPhLud2mOn/yVsxJsL9d1dLT2Xe+oct33VxlJYqGDoJFW0aerHX6cMReamhzdDuH6UJGYgoh7y6/okBHST7dWglgslqUDN8Oo2283KUCYanTromcucZ8XN5M7USUsxEj4PZHBrScfATMCRucITDcv400GJ/LZmFxViR3vxZTg/0TvJ3i6oMCG78aVu+CKDFn/PHgAYDftiI8T8aQmoBMxmXlwdzxrV//qR8U/23yKe2IhemJ6zUPyGG6/8/3cJ81hR52CROrVVFUt+5KbinUsiXuXB03/txTac8zaggILw5l0XrWJqD9cbPZ6U+85taUlFkURF8g4Wtlqf1PMXza3b6xXND6BxkatlIQHpDXB6b0BNGBU5BNrYOYobSwkjgRtjBZKz55ZFCMseK++GAKBS5BB0/VWmNm/VtO+Gdy1gjcrDfrk4TYFBL1pGl6NeLhHMUp/mJCbvaSt/Y8Ym89l6ecoFbnISDMrEzNScoYz9H+NZiX0JO1zorgavKaFVfixLxUCK1AsOYW4ls2TlUPTftxLuFnLBePc4KXG+BX9c7VFVNimbvgK9tnyXEjthp2P2y+FiGFs/Tj7F/3r7WWcCDUjK2iI728036khEp9x93BhsF+k9JxlpU74BXET8ilNgOCsG7jNgQj3v/O3WzwiPfad58rVikYcMJ0WSQlV2UiJ3qWRoM3vY5GUrhSgN84nXCHl3x2/+RR1ID1XIgU8b6NQYay6EZJbVitcxxMtQIbVREYVIMg3GGnT3KsbkvTYk9XvjF7me25ydZ+wHYbpKyhVBXzEnxMyYGEgYgeWEAtw6EGqRwpuGTvZQkHOpwZs6mEZ6JzstCMOzjA5Ow7qfPT6Ql47DkWWtROgPC6zNXskoVnxQou6jMCtk+CoKD04UaI2SgzBa6Y23NKWbgl82UHBdTt+4mFIq4AOK9C0Giopis0cdVmxEU0uzAg1WpYBhugieQVi+scifnDJY9Dw5acBZSg10vYVYKI7IrlbDVDQYW1xqKxk2aPqbIeMQQZoUCAhh/cBjWG5G41ic+sB3/h1GTm/schPgUKk5BJnStYiI1Zo0f/uasaEuQj+HJTOa7MCjpZYrwSwv28r1Q1iMuwzoRzUQ3JP0ghhW3vXgqgfRlK0k++zteG7CO2xLLkZUq+gipqziav2XEBMzjBc+hE7LgHPWlX7/rpjxxAQGYZ/Zb5804hHzxgUdtUpxBJRq865OmqTL8Z4QaYR7sW5OORC1sxnAsR4Fi9XCaWqWIvZjhyx0tHDHt3L1xmXV/avkhyg1O0uhMYNdHHJypSR7ykEmJUkLFwwoYUvWzKMzkeRdKowgKH9XMJjoeuUHp1MZz3MkjdWh1PJRpZgPtKgmpFdyWGtDZHz3wLaNP/z2CUu1LkOMax0s5GHzSPq7zEnU7BlA6PrjupbqOtRGV6K4tv3bltyFUkGvY+XpSGG17QgjjL7hFvfnYD7yxf7HXXcLxuMDBE3sezU/mumJ+XcJszB0I8M+/VyeibrHRLSpngfDOfF4Y1Hiqpq/t5UBMaXUngIU+0MzxT+aKoL+F4P1qIFKIrdj5zrw9bX6RtpbyrYoUd+mG3fG4mruJSjpu5ToPw21W7jWWrWdEmFYmBZSGS8a6fvsRgp2No8mhcQNuRv/Z4TtQCrVmMjs0aBAVJZJfXWHHBGFb9U61poGUBwv+oAjPXVU0/VHVEXkNaSTWRZjdPJjaS7Tjus2UCX0UlH3SMtpWNDQBZ4/NUom58MzCmqLsk0Yttg+7F2R3TvqCGPwwXWXydfKe7yUHJjbRddnRbOdvrqwwB5dHMciKFnkx1eddX5n4tDvm86tvcxPMhyrzhSX1zlJ2sMxS1Lf+IiY2yT6OKno6s2fgBWavaWxudbp9r5EyEnozItBqq3vXzt2BhHARTxrxwVlIMQXlp8Zbx79EWgfpDAhYvzWYT41t03xYs5xOHgImPHY8w1oM7WiiU9Q3EHGHDDHNLSytNynlyPMZe8zOWPUVcMbKD1Q7APmW5VdVmhkpQkvK6Y5FO81Y+vGraIYzo91aVIloUHTF/CDeYTTEH+pZZNJuwuJGO/kGYSRPnRF970fRZH1a9nNuGBE11U+ZSezS+Tb0mEG//kbXBJ1UTbuJHcDnWFtrpGF4151JbNzGbyum8Eenxxfile4/8w6CDsKcPJBk/ko6vEvY/2MZq0DWpnhz5jGMTaJr/COsg5aVX0eme30apSunT7/Effq1j3cHxVb4CjAnuFBZEyYwmdAdxG/4OV8gQRZaribzWXkztuNXDXHEJ2MoAE7hXnR+675vHH0AQBKPsoQcSpUrR0wMqrHAjX4juIcWAMfYqhXiNSPVLFCEARcr7SI4HgIL/YXaZGPYlaGIpqZ4ARELk8abrxF9dwW4WlID3y57CFL8HBiZH83Ve8qbJ8RwMpuAIAuKBWcwnXhrAKdNwz2wDme3I2GtVp4823kFNaUMYLSlT+wf32z19LQz/d6kswaF1+jaP3Cs1+9UMcIq2czab9drdehXC3T28gE/E5ePobNYQkAZNnDrq32sFEQqBs4DfzNII76POdwk8kIhzz63vNRxIanOHDICIoNZ6BIUH4r8nBIWYDoBkZpnA1CMqtNdinG+uurPPXNuHfCwpqAn/BvdnOWvFrLji66ye6DyUa5o4kFxGDqu6TT1bQikwQDWJkFpOc4mNh9ay5HgWmECn+rHsj/5LvaPsk6oQieRPqggMl0mtQG2eygcxQwRcCbQt6VQslgzEmdM4orvk1dHK2jazWIr/xlaCxASod//dni6NVJLNgi3AEGa4PnpJV3GaplrAZnaDfmH6b7XjE4lW6oAGGnN4U0ja919J4oEJxkWpzivGnvv9GWuvYTCJndDNj1YK1/0wbf4lYGLYdds1lH44aYzR5P92kZeNW6c57l0gxcXLs5M2t6EN3/UwNptbi5mcHVbQh5YYu3i+cpeiD98MYLomafIHubEkY2Ieja5xHOeTgtyZs54UafswefObGICAtGDPUFpfpN0DIbVbhlW6WJi6/Lv0ryxrsJHb6kyXry5UXDETDuWSyOLD185mmMC12x5Et03zzxPCXTGVFhFhiC5CnoRv6+UdzoQhFggiaHTbSCtCZAs9uLU9dxmEhHSAdFj+Pu3OEfrXoUzXyjF8PKerxK/+TxPTQ+QKXSxCz+RkhfD7zHJABD2Y68QHhT4xtCDhuQbm35HXyqezJh7987FCxl+HymvCNBFkTD/Sj1UpQPpYwZgoqRaHmmEoUlNUNnXTg36H/ROhRpcW7xlwvOHo3tHQ0FwydJz5RHMieEM022NhNp1JgU89IpiupGh6+RsVAw0IzbUSe6NEp4une075foZ4gE7PexcykCNe/nkevXNxQm9dllpWsWmaPth4HYhglToZKlg92XZXtuiwYAP7Tw9sQLHToIciCqmkVnce+4qTyBybLCJ8jjOC6jde+cq7319HoYmcUrRPAwM4F/2eI2JNORfdjAc5647sK5UCYbGZ6hTrc6+AyuXYNuyKl0ARCl2C7h5ue5QQlOPZlh5ToeL75D46iORL12tAWwP3Q5qrcmby4gZnsnJYmYw2gXZoOQ14G1aCwDGc2cGo8rGvU9AGapCPGhTdOZxTn1kB4fNMTJjj7itTHFjUmmTNFTpakUjDHMxiyHWunVwdmxCe87lFCtUQWaI5GYpSB4yToXdZZGYX6dlQ197grMl2qMW+sg86/Y+TEJhBIaK2t8uF4p4cZVOC61Y6I4PrcA5Spi6Cxi6LQhslOukWog4y7jUuJp7A+5W4mScJlT8m/c19raUnkmwbcHKaFqWu+7fReQat9ibjkDhGMOXOCIla/1+xb1sHHB8S/YnuAVDj6gPKxccwW4qh4VkauXLBUhaaG6++SoWIsUZXGZEUB2LD4sXZK2wdAED1ZA5p5L8K/aEakgU4Ke7ys2gtzw7Vf8vw4rrFpb2GlcjrUb1nEvUyBv0VC8gt2a6VvbdiG0uV0ldAsehZ97D9i9a0EexamL8UFhBHf10TZBmkrf96tzVWERbz2ffq1SmZCe7tEFQdtsmdbHqTvg6/uum1dkL8eFM2WW9xGRRZY1dOcMbiDwmeNDTCijcsbGqa99IIv/1rK6uDYcppCU4UtQ2CUdGThhsRj8zJ2kxLQ0l4oJDJrZHdu7N8q66um8ppDx7HkQumtk3+sb1hAqooKgsMrErCw7g9WXDV2XKsLo3rtToMnYkNYvpZ+i4zISpLvUZUQ3K/5Y4hKXO7tJmk/Pb+v0algEQ5R0US8jwtxoucgPkgfy65Jf2yfssG9dugM3KQHhO7wwdHG49ID09TtsfxwqLCrb+0SoM9r0PHj60s4R6djn22+T+2UMma5FZ6tNAN+vr/ldZuORCo3tNQLihnkPyy+hv0kVX/fcgV3ApxMi16qKSN5eZJXqkPKHPXyTffwrpnTn4Q3w3daqT0ZBIfgek3oCuPdHGhdoNen9mBEFQSBvHOVh3yR63RkFxGSdHh8Yrlu2dIa6AMR2CG4TRaFKCmmFW+C2edZdR398rOiZdHGPRSCu3QRHgvw/OqykTv49zgQ88TOcZpAaeDD9a+TP2a0qocKKVsz1il2thfhG3DAWrsk/w9UPCjooQhCyyH0sSsLRPHqpVy2Bp28RdegguOogW+uMUAHy4pYgCEL6gsGr2HaL6x5kmpcgPGrvRH6l7MzBhikbpsbb+Spfg05yfWjder5SOyyD2sFLtsQm2k8aVGMWm+Vpm2SUGHJqsPqgne2XV7f5RJZSjE07b37bLZgBSsgTY4vw13/Dd0MWHMSVQyaYA6TBwyGiNbPnMCgENMAtr1JbBy/o4deVXH8iLr0iErdJRrrtipb1So0IIIKhpFbNmMnnFxZFRwAD36L+TInjwKfLL/DJQZGj65N72PAGb1NeDPjYi7pxPN2qs7y1XLriUiF1TNobk1kQnRaNsYo9C4pyEIlPjts8CpyZSTla3OMt77F72VbjB0jAjnJCVh8jPNK3NPfJ06MHT+Szy9/yBoftfQPcb2o/MT4Gj7qDHmCOMpvhUHAQI4q+0ETGybAYM9iWA4Y6FhG2IEU5MsBZpEGlqREDO9qq8lzvgbwyvpqDzcMXgpuUdHtkUOupBpMsxbl1Gd2Te8NNO3gxnnHI5LzNwvXp9mIWnWXDkDBupMGkdiaVLIop785RXpuX7OXFZSjMx4QJmWiZiqGEJtGBXhbutCAJpxN6PBVi5wIOhvHbCxvWuZbuVJ+c0vTjuhcoV6IbrlVxuJ87I7QWfX+NgnQtyc63i14yd84OlKVd8h97hFXLW00h1XD0H9GVUcMzCsLQ0HhpBFXIOOdKvvItZlgPx1UOBG3H8SB9sVJTcLJDjQXQbfnJksIRwiLlPETq7KOQxeIZAxpqZCvGhXVIMCeAGg5gT+a7HZZ/wy8K2UbFG6BfFuMqONCQ4F9Cgt+BigqdzN/KeEHD3MsvWmmYe6qpKXtZHTuefmuXMGmAeHKHW9ZKTZn6WvOchdFFaU0JpycQR2M+8R8sGltYhQJ5FO+VUmstakefrN/TM4DWyHYYmV2BqNigLCpKx1/bbpC8j0eocYjsN4ARCtsxUTTQXs6FszBiTdrtnsspKWeLAlp4xzzvWDySwwDRStUj/YrIdB1NUq1WCYJhJdEoNRdSAEwBG9P7kcAVbj/s1e/rFF366bhfwXunmJLmzssS8lxXwTMszgDc0kHyLt9wOsshA7NV0xeDpBH8pdRVcYALDlE/VpZWDz12nPeRvwKw04p5PMAGOb4Aes7O2tS31MIujP9tkOiuPcJgBNG73RhXgAApOypzR/8vUPix320h5nKM1HMtRYS6L5qtexQlJ4a8e2aYPlUJam86UDBOemrJBOYZQGF6bS4HQxvuLVgr3mpQmOX8TwFREDBDcd6SeGbJFLRoGgsjO6sOcHCFnn3kCNmfC9rrAZ4HQHkLj32kjy3nz1JBPR57gIevUavTyW/zafkapuRXDeXbjOsSqlO+B8f5OLd3fSAMaorpaJRQSfd7egKZR7o8UnJG/FqO2XmSvl2w8APAgftG6BjmlfXeTT2bO97QUZIXS4ckXAUCeGIX7QYZZ/eX25Gi96HAdlStPFucObrQvUyn+zQ2ZHy7U+NeiO0GOA0p8rs5EhF+fLCjYfQw6LlvscFgoBJ0RIcz1ywofyNRaiggB+X4LLRF6JpRaDPLkQiUIfhK3B0GMVYrMrx4okskofUjyhA204yLG/JJsbv6m0ZfjFnWeNzWVck/l+6c5NWzyh3tZlVdCvUFkJA2t7zG0lxT+eafA4uRP/m3X5wJOmFCSkdey09Rx17d+Yz5Ra9ewrHXlhV/7DD5bceNweMa3AWZLUYEuZ0gY3dz0scn1NJt8MN4XZTg8YZSxyx+lUu84YwKFQcYu0og7WRO33TzgMbg1cq8gDsL3RRNp2OyMPzUJ810e6RXZ5PEA2y/oSE9HiO3VZXT7yVFZKPvnSZU91SRgUcVFXgG1WcfY6HQtU98ZAJR7T8mRdf2iqNyN/IEXxHtaGQR3qMuOrPWz6ySXeyhE=" spinCount="10000000" sheet="1" selectLockedCells="1" autoFilter="0"/>
  <autoFilter ref="B27:B67" xr:uid="{00000000-0009-0000-0000-000002000000}">
    <filterColumn colId="0">
      <filters>
        <filter val="10"/>
      </filters>
    </filterColumn>
  </autoFilter>
  <dataConsolidate/>
  <mergeCells count="126">
    <mergeCell ref="C77:E77"/>
    <mergeCell ref="BY24:BY27"/>
    <mergeCell ref="B76:P76"/>
    <mergeCell ref="O101:P101"/>
    <mergeCell ref="H30:I30"/>
    <mergeCell ref="H28:I28"/>
    <mergeCell ref="H29:I29"/>
    <mergeCell ref="H31:I31"/>
    <mergeCell ref="H54:I54"/>
    <mergeCell ref="H55:I55"/>
    <mergeCell ref="H56:I56"/>
    <mergeCell ref="H57:I57"/>
    <mergeCell ref="H50:I50"/>
    <mergeCell ref="H46:I46"/>
    <mergeCell ref="H47:I47"/>
    <mergeCell ref="H34:I34"/>
    <mergeCell ref="H35:I35"/>
    <mergeCell ref="H36:I36"/>
    <mergeCell ref="H37:I37"/>
    <mergeCell ref="H33:I33"/>
    <mergeCell ref="H43:I43"/>
    <mergeCell ref="F75:M75"/>
    <mergeCell ref="H61:I61"/>
    <mergeCell ref="H66:I66"/>
    <mergeCell ref="H67:I67"/>
    <mergeCell ref="H62:I62"/>
    <mergeCell ref="H48:I48"/>
    <mergeCell ref="B74:M74"/>
    <mergeCell ref="H51:I51"/>
    <mergeCell ref="H52:I52"/>
    <mergeCell ref="H58:I58"/>
    <mergeCell ref="H59:I59"/>
    <mergeCell ref="H53:I53"/>
    <mergeCell ref="H65:I65"/>
    <mergeCell ref="H63:I63"/>
    <mergeCell ref="H64:I64"/>
    <mergeCell ref="H49:I49"/>
    <mergeCell ref="H60:I60"/>
    <mergeCell ref="J72:M72"/>
    <mergeCell ref="J71:M71"/>
    <mergeCell ref="J70:M70"/>
    <mergeCell ref="H44:I44"/>
    <mergeCell ref="H45:I45"/>
    <mergeCell ref="H39:I39"/>
    <mergeCell ref="H40:I40"/>
    <mergeCell ref="H41:I41"/>
    <mergeCell ref="BN24:BN27"/>
    <mergeCell ref="AC26:AD26"/>
    <mergeCell ref="AH26:AI26"/>
    <mergeCell ref="D11:J11"/>
    <mergeCell ref="AL24:AL27"/>
    <mergeCell ref="L11:M11"/>
    <mergeCell ref="AX24:AX27"/>
    <mergeCell ref="H42:I42"/>
    <mergeCell ref="BC25:BF25"/>
    <mergeCell ref="D10:J10"/>
    <mergeCell ref="H38:I38"/>
    <mergeCell ref="D18:F18"/>
    <mergeCell ref="AV24:AV27"/>
    <mergeCell ref="U24:U27"/>
    <mergeCell ref="J24:M24"/>
    <mergeCell ref="H24:I27"/>
    <mergeCell ref="J25:J27"/>
    <mergeCell ref="E24:E26"/>
    <mergeCell ref="N21:P22"/>
    <mergeCell ref="D24:D26"/>
    <mergeCell ref="F24:F26"/>
    <mergeCell ref="H32:I32"/>
    <mergeCell ref="G24:G26"/>
    <mergeCell ref="H18:M18"/>
    <mergeCell ref="K25:K27"/>
    <mergeCell ref="N24:P24"/>
    <mergeCell ref="N26:N27"/>
    <mergeCell ref="L25:L27"/>
    <mergeCell ref="M25:M27"/>
    <mergeCell ref="N10:P11"/>
    <mergeCell ref="AR24:AS25"/>
    <mergeCell ref="X26:Y26"/>
    <mergeCell ref="AM24:AM27"/>
    <mergeCell ref="L10:M10"/>
    <mergeCell ref="CD24:CD27"/>
    <mergeCell ref="BZ24:BZ27"/>
    <mergeCell ref="CA24:CA27"/>
    <mergeCell ref="CB24:CB27"/>
    <mergeCell ref="CC24:CC27"/>
    <mergeCell ref="BL24:BL27"/>
    <mergeCell ref="R24:R27"/>
    <mergeCell ref="AT24:AU25"/>
    <mergeCell ref="AP24:AP27"/>
    <mergeCell ref="BG25:BI25"/>
    <mergeCell ref="AQ24:AQ27"/>
    <mergeCell ref="BJ24:BJ27"/>
    <mergeCell ref="AF24:AJ25"/>
    <mergeCell ref="AA24:AE25"/>
    <mergeCell ref="V24:Z25"/>
    <mergeCell ref="AY24:AY27"/>
    <mergeCell ref="AO24:AO27"/>
    <mergeCell ref="BK24:BK27"/>
    <mergeCell ref="AS26:AS27"/>
    <mergeCell ref="AZ24:AZ27"/>
    <mergeCell ref="BC26:BC27"/>
    <mergeCell ref="BD26:BD27"/>
    <mergeCell ref="BE26:BE27"/>
    <mergeCell ref="O5:P5"/>
    <mergeCell ref="O74:P74"/>
    <mergeCell ref="AT26:AT27"/>
    <mergeCell ref="BA24:BI24"/>
    <mergeCell ref="BA25:BB25"/>
    <mergeCell ref="BA26:BA27"/>
    <mergeCell ref="BG26:BG27"/>
    <mergeCell ref="BH26:BH27"/>
    <mergeCell ref="BF26:BF27"/>
    <mergeCell ref="BB26:BB27"/>
    <mergeCell ref="AU26:AU27"/>
    <mergeCell ref="BI26:BI27"/>
    <mergeCell ref="AR26:AR27"/>
    <mergeCell ref="O26:O27"/>
    <mergeCell ref="N25:O25"/>
    <mergeCell ref="P25:P27"/>
    <mergeCell ref="S24:S27"/>
    <mergeCell ref="T24:T27"/>
    <mergeCell ref="AK24:AK27"/>
    <mergeCell ref="AZ28:AZ67"/>
    <mergeCell ref="AY28:AY67"/>
    <mergeCell ref="AN24:AN27"/>
    <mergeCell ref="AW24:AW27"/>
  </mergeCells>
  <phoneticPr fontId="3" type="noConversion"/>
  <conditionalFormatting sqref="H71:H73 H69 H28:H67">
    <cfRule type="expression" dxfId="50" priority="60" stopIfTrue="1">
      <formula>ISNA($BN28)</formula>
    </cfRule>
  </conditionalFormatting>
  <conditionalFormatting sqref="I69:I73">
    <cfRule type="cellIs" dxfId="49" priority="61" stopIfTrue="1" operator="equal">
      <formula>$I$127</formula>
    </cfRule>
  </conditionalFormatting>
  <conditionalFormatting sqref="H18">
    <cfRule type="expression" dxfId="48" priority="65" stopIfTrue="1">
      <formula>$BP$16&gt;$BP$17</formula>
    </cfRule>
    <cfRule type="expression" dxfId="47" priority="66" stopIfTrue="1">
      <formula>$BP$16=$BP$17</formula>
    </cfRule>
    <cfRule type="expression" dxfId="46" priority="67" stopIfTrue="1">
      <formula>$BP$16&lt;$BP$17</formula>
    </cfRule>
  </conditionalFormatting>
  <conditionalFormatting sqref="D27">
    <cfRule type="expression" dxfId="45" priority="68" stopIfTrue="1">
      <formula>$J$101</formula>
    </cfRule>
    <cfRule type="expression" dxfId="44" priority="69" stopIfTrue="1">
      <formula>NOT($J$101)</formula>
    </cfRule>
  </conditionalFormatting>
  <conditionalFormatting sqref="E27">
    <cfRule type="expression" dxfId="43" priority="74" stopIfTrue="1">
      <formula>$J$101</formula>
    </cfRule>
    <cfRule type="expression" dxfId="42" priority="75" stopIfTrue="1">
      <formula>NOT($J$101)</formula>
    </cfRule>
  </conditionalFormatting>
  <conditionalFormatting sqref="N24:P27">
    <cfRule type="expression" dxfId="41" priority="79" stopIfTrue="1">
      <formula>$J$110="Green"</formula>
    </cfRule>
    <cfRule type="expression" dxfId="40" priority="80" stopIfTrue="1">
      <formula>$J$111="Red"</formula>
    </cfRule>
  </conditionalFormatting>
  <conditionalFormatting sqref="N72">
    <cfRule type="expression" dxfId="39" priority="81" stopIfTrue="1">
      <formula>AF70&gt;0</formula>
    </cfRule>
  </conditionalFormatting>
  <conditionalFormatting sqref="N71">
    <cfRule type="expression" dxfId="38" priority="82" stopIfTrue="1">
      <formula>AA70&gt;0</formula>
    </cfRule>
  </conditionalFormatting>
  <conditionalFormatting sqref="N70">
    <cfRule type="expression" dxfId="37" priority="83" stopIfTrue="1">
      <formula>V70&gt;0</formula>
    </cfRule>
  </conditionalFormatting>
  <conditionalFormatting sqref="O74">
    <cfRule type="expression" dxfId="36" priority="88" stopIfTrue="1">
      <formula>$I$111</formula>
    </cfRule>
    <cfRule type="expression" dxfId="35" priority="89" stopIfTrue="1">
      <formula>$I$110</formula>
    </cfRule>
    <cfRule type="expression" dxfId="34" priority="90" stopIfTrue="1">
      <formula>NOT($I$112)</formula>
    </cfRule>
  </conditionalFormatting>
  <conditionalFormatting sqref="J28:J67">
    <cfRule type="expression" dxfId="33" priority="41">
      <formula>-OR(DB28&lt;&gt;"OK",DC28&lt;&gt;"OK")</formula>
    </cfRule>
  </conditionalFormatting>
  <conditionalFormatting sqref="B24:C27">
    <cfRule type="expression" dxfId="32" priority="30">
      <formula>RowsPreferredTwo&lt;&gt;RowsShownTwo</formula>
    </cfRule>
  </conditionalFormatting>
  <conditionalFormatting sqref="C28:C67">
    <cfRule type="expression" dxfId="31" priority="29">
      <formula>ISBLANK(D28)</formula>
    </cfRule>
  </conditionalFormatting>
  <conditionalFormatting sqref="G18">
    <cfRule type="cellIs" dxfId="30" priority="28" operator="lessThan">
      <formula>RowsFilledTwo</formula>
    </cfRule>
  </conditionalFormatting>
  <conditionalFormatting sqref="K28:K67">
    <cfRule type="expression" dxfId="29" priority="39" stopIfTrue="1">
      <formula>AND(OR(J28=ProgDim,J28=V2FixedDim,J28=V2ManualDim,J28=V2ProgDim),K28&gt;=0.75,K28&lt;1)</formula>
    </cfRule>
    <cfRule type="expression" dxfId="28" priority="57" stopIfTrue="1">
      <formula>OR(AND(OR(J28=ProgDim,J28=V2ProgDim,J28=V2ManualDim,J28=V2FixedDim),K28=0),AND(OR(J28&lt;&gt;ProgDim),K28&gt;0))</formula>
    </cfRule>
  </conditionalFormatting>
  <conditionalFormatting sqref="L28:L67">
    <cfRule type="expression" dxfId="27" priority="15">
      <formula>AND(J28=V2FixedDim,K28&gt;0,K28&lt;1,L28&gt;0)</formula>
    </cfRule>
    <cfRule type="expression" dxfId="26" priority="16">
      <formula>OR(AND(K28&gt;0,$J28=V2FixedDim),AND($J28=V2FixedDim,K28=0),AND(L28&gt;0,J28&lt;&gt;V2FixedDim))</formula>
    </cfRule>
  </conditionalFormatting>
  <conditionalFormatting sqref="M28:M67">
    <cfRule type="expression" dxfId="25" priority="13">
      <formula>OR(AND(M28&gt;0,$J28&lt;&gt;V2LumenDepFactor),AND($J28=V2LumenDepFactor,M28=0))</formula>
    </cfRule>
    <cfRule type="expression" dxfId="24" priority="14">
      <formula>$J28=V2LumenDepFactor</formula>
    </cfRule>
  </conditionalFormatting>
  <conditionalFormatting sqref="L25:M27">
    <cfRule type="expression" dxfId="23" priority="12">
      <formula>OR(ClassificationTwo=Class5,ClassificationTwo=Class4)</formula>
    </cfRule>
  </conditionalFormatting>
  <conditionalFormatting sqref="L28:M67">
    <cfRule type="expression" dxfId="22" priority="10" stopIfTrue="1">
      <formula>OR(ClassificationTwo=Class5,ClassificationTwo=Class4)</formula>
    </cfRule>
  </conditionalFormatting>
  <conditionalFormatting sqref="N10">
    <cfRule type="expression" dxfId="21" priority="391" stopIfTrue="1">
      <formula>$N$10&lt;&gt;""</formula>
    </cfRule>
  </conditionalFormatting>
  <conditionalFormatting sqref="J72:M72 J70:M71">
    <cfRule type="cellIs" dxfId="20" priority="3" operator="notEqual">
      <formula>""</formula>
    </cfRule>
  </conditionalFormatting>
  <conditionalFormatting sqref="B74:M74">
    <cfRule type="expression" dxfId="19" priority="2">
      <formula>$B$74&lt;&gt;""</formula>
    </cfRule>
  </conditionalFormatting>
  <conditionalFormatting sqref="N18:P19">
    <cfRule type="expression" dxfId="18" priority="504">
      <formula>$H$118&lt;&gt;""</formula>
    </cfRule>
  </conditionalFormatting>
  <conditionalFormatting sqref="O70">
    <cfRule type="expression" dxfId="17" priority="546" stopIfTrue="1">
      <formula>AND($N$138,$V$70&gt;0,I112)</formula>
    </cfRule>
    <cfRule type="expression" dxfId="16" priority="547" stopIfTrue="1">
      <formula>AND($N$150,$V$70&gt;0,I112)</formula>
    </cfRule>
  </conditionalFormatting>
  <conditionalFormatting sqref="O72">
    <cfRule type="expression" dxfId="15" priority="548" stopIfTrue="1">
      <formula>AND($N$146,$AF$70&gt;0,I112)</formula>
    </cfRule>
    <cfRule type="expression" dxfId="14" priority="549" stopIfTrue="1">
      <formula>AND($N$158,$AF$70&gt;0,I112)</formula>
    </cfRule>
  </conditionalFormatting>
  <conditionalFormatting sqref="O71">
    <cfRule type="expression" dxfId="13" priority="550" stopIfTrue="1">
      <formula>AND($N$142,$AA$70&gt;0,I112)</formula>
    </cfRule>
    <cfRule type="expression" dxfId="12" priority="551" stopIfTrue="1">
      <formula>AND($N$154,$AA$70&gt;0,I112)</formula>
    </cfRule>
  </conditionalFormatting>
  <conditionalFormatting sqref="P28:P67">
    <cfRule type="expression" dxfId="11" priority="563" stopIfTrue="1">
      <formula>$DJ28&gt;0</formula>
    </cfRule>
    <cfRule type="expression" dxfId="10" priority="564" stopIfTrue="1">
      <formula>BG28</formula>
    </cfRule>
    <cfRule type="expression" dxfId="9" priority="565" stopIfTrue="1">
      <formula>BH28</formula>
    </cfRule>
  </conditionalFormatting>
  <conditionalFormatting sqref="O28:O67">
    <cfRule type="expression" dxfId="8" priority="566" stopIfTrue="1">
      <formula>$DJ28&gt;0</formula>
    </cfRule>
    <cfRule type="expression" dxfId="7" priority="567" stopIfTrue="1">
      <formula>BC28</formula>
    </cfRule>
    <cfRule type="expression" dxfId="6" priority="568" stopIfTrue="1">
      <formula>BD28</formula>
    </cfRule>
    <cfRule type="expression" dxfId="5" priority="569" stopIfTrue="1">
      <formula>BE28</formula>
    </cfRule>
    <cfRule type="expression" dxfId="4" priority="570" stopIfTrue="1">
      <formula>$BF28</formula>
    </cfRule>
  </conditionalFormatting>
  <conditionalFormatting sqref="N28:N67">
    <cfRule type="expression" dxfId="3" priority="571" stopIfTrue="1">
      <formula>$DJ28&gt;0</formula>
    </cfRule>
    <cfRule type="expression" dxfId="2" priority="572" stopIfTrue="1">
      <formula>BG28</formula>
    </cfRule>
    <cfRule type="expression" dxfId="1" priority="573" stopIfTrue="1">
      <formula>$BH28</formula>
    </cfRule>
  </conditionalFormatting>
  <conditionalFormatting sqref="D28:I67">
    <cfRule type="expression" dxfId="0" priority="1">
      <formula>$AN28=TRUE</formula>
    </cfRule>
  </conditionalFormatting>
  <dataValidations xWindow="594" yWindow="564" count="10">
    <dataValidation type="decimal" operator="greaterThan" allowBlank="1" showInputMessage="1" showErrorMessage="1" errorTitle="Floor Area" error="The floor areas must be numerical and is measured in m²" sqref="F28:F67" xr:uid="{00000000-0002-0000-0200-000000000000}">
      <formula1>0.1</formula1>
    </dataValidation>
    <dataValidation type="decimal" operator="greaterThan" allowBlank="1" showInputMessage="1" showErrorMessage="1" errorTitle="Design Illumination Power Load" error="The design illumination power load must be numerical and is measured in Watts.  " sqref="G28:G67" xr:uid="{00000000-0002-0000-0200-000001000000}">
      <formula1>0.1</formula1>
    </dataValidation>
    <dataValidation type="list" showInputMessage="1" showErrorMessage="1" sqref="H28:I67" xr:uid="{00000000-0002-0000-0200-000002000000}">
      <formula1>ValidLocationsTwo</formula1>
    </dataValidation>
    <dataValidation type="list" allowBlank="1" showInputMessage="1" showErrorMessage="1" sqref="E28:E67" xr:uid="{00000000-0002-0000-0200-000003000000}">
      <formula1>$E$86:$E$95</formula1>
    </dataValidation>
    <dataValidation type="whole" allowBlank="1" showErrorMessage="1" errorTitle="Unsuitable number" error="Enter a number no smaller than the number of rows with data already present and no larger than 40." sqref="G18" xr:uid="{00000000-0002-0000-0200-000004000000}">
      <formula1>RowsFilledTwo</formula1>
      <formula2>40</formula2>
    </dataValidation>
    <dataValidation type="custom" operator="greaterThanOrEqual" showInputMessage="1" showErrorMessage="1" errorTitle="Invalid % of floor area" error="An appropriate Adjustment Factor must be selected to use this cell._x000a_At least 75% of the floor area must be controlled by dimmers to use this Adjustment Factor._x000a__x000a_Click Cancel and start again. (Do NOT click Retry.)" promptTitle="% of floor area dimmed" prompt="Applies only when an associated Adjustment Factor is selected (at left) and where at least 75% of the floor area is controlled by dimmers." sqref="K28:K67" xr:uid="{00000000-0002-0000-0200-000005000000}">
      <formula1>IF(OR(J28=ProgDim,J28=V2ManualDim,J28=V2ProgDim,J28=V2FixedDim),AND(K28&gt;=0.75,K28&lt;=1),"")</formula1>
    </dataValidation>
    <dataValidation type="custom" operator="greaterThanOrEqual" showInputMessage="1" showErrorMessage="1" errorTitle="Invalid % of full power" error="Adjustment Factor '(j) Fixed dimming' for a Class 1 or Class 10a building must be selected to use this cell._x000a_'% of floor area controlled' must be entered at left and value here must be less than 95%." promptTitle="Dimmed % of full power" prompt="Applies only to Volume Two buildings with the fixed dimming adjustment factor._x000a_Enter the % of full power to which the dimmer is set. (No benefit unless % is less than 95%.)_x000a__x000a_For all other Adjustment Factors, disregard this cell." sqref="L28:L67" xr:uid="{00000000-0002-0000-0200-000006000000}">
      <formula1>IF(J28=V2FixedDim,AND(K28&gt;=0.75,L28&lt;=0.95),"")</formula1>
    </dataValidation>
    <dataValidation type="custom" operator="greaterThanOrEqual" showInputMessage="1" showErrorMessage="1" errorTitle="Invalid Depreciation Factor" error="Adjustment Factor &quot;(i) Additional lumen depreciation factor&quot; for a Class 1 or Class 10a building must be selected at left to use this cell._x000a_Design Lumen Depreciation Factor must be at least 0.8 and less than 1." promptTitle="Design Lumen Depreciation Factor" prompt="Applies only for Volume Two when a Dynamic Dimming Factor has been selected at left.  The factor cannot be less than 0.9 for fluorescent lights or less than 0.8 for high pressure discharge lights." sqref="M28:M67" xr:uid="{00000000-0002-0000-0200-000007000000}">
      <formula1>IF(J28=V2LumenDepFactor,AND(M28&gt;=0.8,M28&lt;=1),"")</formula1>
    </dataValidation>
    <dataValidation type="list" allowBlank="1" showInputMessage="1" showErrorMessage="1" sqref="J28:J67" xr:uid="{00000000-0002-0000-0200-000008000000}">
      <formula1>IF(OR($E28=$E$89), ValidControlsRes, ValidControlsResParts)</formula1>
    </dataValidation>
    <dataValidation type="list" allowBlank="1" showInputMessage="1" showErrorMessage="1" sqref="L11:M11" xr:uid="{00000000-0002-0000-0200-000009000000}">
      <formula1>ResClassifications</formula1>
    </dataValidation>
  </dataValidations>
  <pageMargins left="0.25" right="0.25" top="0.75" bottom="0.75" header="0.3" footer="0.3"/>
  <pageSetup paperSize="9" scale="33" orientation="landscape" r:id="rId1"/>
  <headerFooter alignWithMargins="0"/>
  <ignoredErrors>
    <ignoredError sqref="Q106 P28:P67 N28:N33" evalError="1"/>
    <ignoredError sqref="CU39:CY67 AK39:AK40 AK41:AK67 AN39:AP67" formulaRange="1"/>
  </ignoredErrors>
  <drawing r:id="rId2"/>
  <legacyDrawing r:id="rId3"/>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48"/>
  <sheetViews>
    <sheetView showGridLines="0" showRowColHeaders="0" zoomScale="70" zoomScaleNormal="70" workbookViewId="0">
      <selection activeCell="AH6" sqref="AH6"/>
    </sheetView>
  </sheetViews>
  <sheetFormatPr defaultColWidth="8.86328125" defaultRowHeight="12.75" x14ac:dyDescent="0.35"/>
  <cols>
    <col min="2" max="2" width="10.73046875" customWidth="1"/>
    <col min="3" max="3" width="26" customWidth="1"/>
    <col min="4" max="4" width="7" customWidth="1"/>
    <col min="12" max="12" width="14.1328125" customWidth="1"/>
    <col min="13" max="13" width="13.73046875" customWidth="1"/>
    <col min="14" max="14" width="26.73046875" customWidth="1"/>
    <col min="16" max="16" width="5" hidden="1" customWidth="1"/>
    <col min="17" max="17" width="5" style="208" hidden="1" customWidth="1"/>
    <col min="18" max="18" width="35.59765625" hidden="1" customWidth="1"/>
    <col min="19" max="19" width="6.86328125" hidden="1" customWidth="1"/>
    <col min="20" max="20" width="8.86328125" hidden="1" customWidth="1"/>
    <col min="21" max="21" width="40.73046875" hidden="1" customWidth="1"/>
    <col min="22" max="22" width="31.59765625" hidden="1" customWidth="1"/>
    <col min="23" max="23" width="11.59765625" hidden="1" customWidth="1"/>
    <col min="24" max="24" width="30.59765625" hidden="1" customWidth="1"/>
    <col min="25" max="25" width="7" hidden="1" customWidth="1"/>
    <col min="26" max="26" width="8.86328125" hidden="1" customWidth="1"/>
    <col min="27" max="27" width="5" hidden="1" customWidth="1"/>
    <col min="28" max="28" width="4.59765625" hidden="1" customWidth="1"/>
    <col min="29" max="29" width="36.265625" hidden="1" customWidth="1"/>
    <col min="30" max="30" width="7.265625" hidden="1" customWidth="1"/>
    <col min="31" max="31" width="9.73046875" hidden="1" customWidth="1"/>
    <col min="32" max="32" width="8.86328125" customWidth="1"/>
  </cols>
  <sheetData>
    <row r="1" spans="1:31" ht="33.4" customHeight="1" x14ac:dyDescent="0.4">
      <c r="A1" s="284"/>
      <c r="B1" s="284"/>
      <c r="C1" s="284"/>
      <c r="D1" s="284"/>
      <c r="E1" s="284"/>
      <c r="F1" s="284"/>
      <c r="G1" s="284"/>
      <c r="H1" s="284"/>
      <c r="I1" s="284"/>
      <c r="J1" s="284"/>
      <c r="K1" s="284"/>
      <c r="L1" s="284"/>
      <c r="M1" s="284"/>
      <c r="N1" s="284"/>
      <c r="O1" s="284"/>
      <c r="P1" s="148" t="s">
        <v>198</v>
      </c>
      <c r="Q1" s="148"/>
    </row>
    <row r="2" spans="1:31" ht="33.4" customHeight="1" x14ac:dyDescent="0.35">
      <c r="A2" s="284"/>
      <c r="B2" s="284"/>
      <c r="C2" s="284"/>
      <c r="D2" s="284"/>
      <c r="E2" s="284"/>
      <c r="F2" s="284"/>
      <c r="G2" s="284"/>
      <c r="H2" s="284"/>
      <c r="I2" s="284"/>
      <c r="J2" s="284"/>
      <c r="K2" s="284"/>
      <c r="L2" s="284"/>
      <c r="M2" s="284"/>
      <c r="N2" s="284"/>
      <c r="O2" s="284"/>
      <c r="P2" s="149" t="s">
        <v>207</v>
      </c>
      <c r="Q2" s="149"/>
    </row>
    <row r="3" spans="1:31" ht="33.4" customHeight="1" x14ac:dyDescent="0.35">
      <c r="A3" s="284"/>
      <c r="B3" s="284"/>
      <c r="C3" s="284"/>
      <c r="D3" s="284"/>
      <c r="E3" s="284"/>
      <c r="F3" s="284"/>
      <c r="G3" s="284"/>
      <c r="H3" s="284"/>
      <c r="I3" s="284"/>
      <c r="J3" s="284"/>
      <c r="K3" s="284"/>
      <c r="L3" s="284"/>
      <c r="M3" s="284"/>
      <c r="N3" s="284"/>
      <c r="O3" s="284"/>
      <c r="P3" s="149" t="s">
        <v>254</v>
      </c>
      <c r="Q3" s="149"/>
    </row>
    <row r="4" spans="1:31" ht="33.4" customHeight="1" x14ac:dyDescent="0.35">
      <c r="A4" s="284"/>
      <c r="B4" s="284"/>
      <c r="C4" s="284"/>
      <c r="D4" s="284"/>
      <c r="E4" s="284"/>
      <c r="F4" s="284"/>
      <c r="G4" s="284"/>
      <c r="H4" s="284"/>
      <c r="I4" s="284"/>
      <c r="J4" s="284"/>
      <c r="K4" s="284"/>
      <c r="L4" s="284"/>
      <c r="M4" s="284"/>
      <c r="N4" s="284"/>
      <c r="O4" s="284"/>
      <c r="P4" s="149" t="s">
        <v>255</v>
      </c>
      <c r="Q4" s="149"/>
    </row>
    <row r="5" spans="1:31" ht="33.4" customHeight="1" x14ac:dyDescent="0.35">
      <c r="A5" s="284"/>
      <c r="B5" s="284"/>
      <c r="C5" s="284"/>
      <c r="D5" s="600" t="s">
        <v>321</v>
      </c>
      <c r="E5" s="600"/>
      <c r="F5" s="600"/>
      <c r="G5" s="600"/>
      <c r="H5" s="600"/>
      <c r="I5" s="600"/>
      <c r="J5" s="600"/>
      <c r="K5" s="600"/>
      <c r="L5" s="600"/>
      <c r="M5" s="284"/>
      <c r="N5" s="284"/>
      <c r="O5" s="284"/>
      <c r="P5" s="149" t="s">
        <v>202</v>
      </c>
      <c r="Q5" s="149"/>
    </row>
    <row r="6" spans="1:31" ht="20.100000000000001" customHeight="1" x14ac:dyDescent="0.35">
      <c r="A6" s="437" t="s">
        <v>361</v>
      </c>
      <c r="B6" s="437"/>
      <c r="C6" s="437"/>
      <c r="D6" s="437"/>
      <c r="E6" s="437"/>
      <c r="F6" s="437"/>
      <c r="G6" s="437"/>
      <c r="H6" s="437"/>
      <c r="I6" s="437"/>
      <c r="J6" s="437"/>
      <c r="K6" s="437"/>
      <c r="L6" s="437"/>
      <c r="M6" s="437"/>
      <c r="N6" s="437"/>
      <c r="O6" s="437"/>
      <c r="P6" s="149" t="s">
        <v>256</v>
      </c>
      <c r="Q6" s="149"/>
      <c r="R6" s="208"/>
      <c r="S6" s="208"/>
      <c r="T6" s="208"/>
      <c r="U6" s="208"/>
      <c r="V6" s="208"/>
      <c r="W6" s="208"/>
      <c r="X6" s="208"/>
      <c r="Y6" s="208"/>
      <c r="Z6" s="208"/>
      <c r="AA6" s="208"/>
      <c r="AB6" s="208"/>
      <c r="AC6" s="208"/>
      <c r="AD6" s="208"/>
      <c r="AE6" s="208"/>
    </row>
    <row r="7" spans="1:31" ht="20.100000000000001" customHeight="1" x14ac:dyDescent="0.35">
      <c r="A7" s="437"/>
      <c r="B7" s="437"/>
      <c r="C7" s="437"/>
      <c r="D7" s="437"/>
      <c r="E7" s="437"/>
      <c r="F7" s="437"/>
      <c r="G7" s="437"/>
      <c r="H7" s="437"/>
      <c r="I7" s="437"/>
      <c r="J7" s="437"/>
      <c r="K7" s="437"/>
      <c r="L7" s="437"/>
      <c r="M7" s="437"/>
      <c r="N7" s="437"/>
      <c r="O7" s="437"/>
      <c r="P7" s="208"/>
      <c r="R7" s="208"/>
      <c r="S7" s="208"/>
      <c r="T7" s="208"/>
      <c r="U7" s="208"/>
      <c r="V7" s="208"/>
      <c r="W7" s="208"/>
      <c r="X7" s="208"/>
      <c r="Y7" s="208"/>
      <c r="Z7" s="208"/>
      <c r="AA7" s="208"/>
      <c r="AB7" s="208"/>
      <c r="AC7" s="208"/>
      <c r="AD7" s="208"/>
      <c r="AE7" s="208"/>
    </row>
    <row r="8" spans="1:31" x14ac:dyDescent="0.35">
      <c r="A8" s="284"/>
      <c r="B8" s="284"/>
      <c r="C8" s="284"/>
      <c r="D8" s="284"/>
      <c r="E8" s="284"/>
      <c r="F8" s="284"/>
      <c r="G8" s="284"/>
      <c r="H8" s="284"/>
      <c r="I8" s="284"/>
      <c r="J8" s="284"/>
      <c r="K8" s="284"/>
      <c r="L8" s="284"/>
      <c r="M8" s="284"/>
      <c r="N8" s="284"/>
      <c r="O8" s="284"/>
    </row>
    <row r="9" spans="1:31" ht="12.75" customHeight="1" x14ac:dyDescent="0.35">
      <c r="A9" s="284"/>
      <c r="B9" s="284"/>
      <c r="C9" s="584" t="s">
        <v>3</v>
      </c>
      <c r="D9" s="585" t="s">
        <v>4</v>
      </c>
      <c r="E9" s="585"/>
      <c r="F9" s="585"/>
      <c r="G9" s="585"/>
      <c r="H9" s="585"/>
      <c r="I9" s="585"/>
      <c r="J9" s="585"/>
      <c r="K9" s="585"/>
      <c r="L9" s="586"/>
      <c r="M9" s="586"/>
      <c r="N9" s="587" t="s">
        <v>5</v>
      </c>
      <c r="O9" s="284"/>
      <c r="V9" t="s">
        <v>342</v>
      </c>
      <c r="W9" t="b">
        <f>OR(W11="Class 1",W11="Class 10a")</f>
        <v>1</v>
      </c>
    </row>
    <row r="10" spans="1:31" ht="13.15" thickBot="1" x14ac:dyDescent="0.4">
      <c r="A10" s="284"/>
      <c r="B10" s="284"/>
      <c r="C10" s="584"/>
      <c r="D10" s="585"/>
      <c r="E10" s="585"/>
      <c r="F10" s="585"/>
      <c r="G10" s="585"/>
      <c r="H10" s="585"/>
      <c r="I10" s="585"/>
      <c r="J10" s="585"/>
      <c r="K10" s="585"/>
      <c r="L10" s="586"/>
      <c r="M10" s="586"/>
      <c r="N10" s="587"/>
      <c r="O10" s="284"/>
      <c r="P10" s="188" t="s">
        <v>300</v>
      </c>
      <c r="V10" s="215" t="s">
        <v>270</v>
      </c>
      <c r="W10" s="216"/>
      <c r="X10" s="215" t="s">
        <v>271</v>
      </c>
      <c r="Y10" s="224"/>
      <c r="AA10" t="s">
        <v>336</v>
      </c>
    </row>
    <row r="11" spans="1:31" ht="51" customHeight="1" x14ac:dyDescent="0.35">
      <c r="A11" s="284"/>
      <c r="B11" s="284"/>
      <c r="C11" s="584"/>
      <c r="D11" s="585"/>
      <c r="E11" s="585"/>
      <c r="F11" s="585"/>
      <c r="G11" s="585"/>
      <c r="H11" s="585"/>
      <c r="I11" s="585"/>
      <c r="J11" s="585"/>
      <c r="K11" s="585"/>
      <c r="L11" s="586"/>
      <c r="M11" s="586"/>
      <c r="N11" s="587"/>
      <c r="O11" s="284"/>
      <c r="P11" s="226"/>
      <c r="Q11" s="227"/>
      <c r="R11" s="228" t="s">
        <v>196</v>
      </c>
      <c r="S11" s="228" t="s">
        <v>197</v>
      </c>
      <c r="T11" s="229" t="s">
        <v>203</v>
      </c>
      <c r="V11" s="223" t="s">
        <v>269</v>
      </c>
      <c r="W11" s="217" t="str">
        <f>ClassificationTwo</f>
        <v>Class 1</v>
      </c>
      <c r="X11" s="223" t="s">
        <v>269</v>
      </c>
      <c r="Y11" s="218" t="e">
        <f>ClassificationOne</f>
        <v>#REF!</v>
      </c>
      <c r="AA11" s="226"/>
      <c r="AB11" s="227"/>
      <c r="AC11" s="228" t="s">
        <v>196</v>
      </c>
      <c r="AD11" s="228" t="s">
        <v>197</v>
      </c>
      <c r="AE11" s="229" t="s">
        <v>203</v>
      </c>
    </row>
    <row r="12" spans="1:31" ht="33" customHeight="1" x14ac:dyDescent="0.35">
      <c r="A12" s="284"/>
      <c r="B12" s="284"/>
      <c r="C12" s="588" t="s">
        <v>322</v>
      </c>
      <c r="D12" s="590" t="s">
        <v>25</v>
      </c>
      <c r="E12" s="592" t="s">
        <v>301</v>
      </c>
      <c r="F12" s="592"/>
      <c r="G12" s="592"/>
      <c r="H12" s="592"/>
      <c r="I12" s="592"/>
      <c r="J12" s="592"/>
      <c r="K12" s="592"/>
      <c r="L12" s="592"/>
      <c r="M12" s="592"/>
      <c r="N12" s="593">
        <v>0.7</v>
      </c>
      <c r="O12" s="284"/>
      <c r="P12" s="230">
        <v>1</v>
      </c>
      <c r="Q12" s="231" t="s">
        <v>257</v>
      </c>
      <c r="R12" s="150" t="s">
        <v>281</v>
      </c>
      <c r="S12" s="232">
        <v>0.4</v>
      </c>
      <c r="T12" s="233" t="b">
        <v>1</v>
      </c>
      <c r="U12" s="149"/>
      <c r="V12" s="219" t="str">
        <f>IF($W$9,$AC$12,IF(W11="Class 6",$R$12,"a)NA for this Class"))</f>
        <v>a)Lighting timer (corridor)</v>
      </c>
      <c r="W12" s="217"/>
      <c r="X12" s="219" t="e">
        <f>IF(Y11="Class 6",$R$12,"a)NA for this Class")</f>
        <v>#REF!</v>
      </c>
      <c r="Y12" s="218"/>
      <c r="AA12" s="230">
        <v>1</v>
      </c>
      <c r="AB12" s="231" t="s">
        <v>257</v>
      </c>
      <c r="AC12" s="150" t="s">
        <v>333</v>
      </c>
      <c r="AD12" s="232">
        <v>0.7</v>
      </c>
      <c r="AE12" s="233" t="b">
        <v>1</v>
      </c>
    </row>
    <row r="13" spans="1:31" ht="22.5" customHeight="1" x14ac:dyDescent="0.35">
      <c r="A13" s="284"/>
      <c r="B13" s="284"/>
      <c r="C13" s="589"/>
      <c r="D13" s="591"/>
      <c r="E13" s="592"/>
      <c r="F13" s="592"/>
      <c r="G13" s="592"/>
      <c r="H13" s="592"/>
      <c r="I13" s="592"/>
      <c r="J13" s="592"/>
      <c r="K13" s="592"/>
      <c r="L13" s="592"/>
      <c r="M13" s="592"/>
      <c r="N13" s="593"/>
      <c r="O13" s="284"/>
      <c r="P13" s="230">
        <v>2</v>
      </c>
      <c r="Q13" s="231" t="s">
        <v>258</v>
      </c>
      <c r="R13" s="150" t="s">
        <v>272</v>
      </c>
      <c r="S13" s="232">
        <v>0.6</v>
      </c>
      <c r="T13" s="233" t="b">
        <v>1</v>
      </c>
      <c r="U13" s="208"/>
      <c r="V13" s="219" t="str">
        <f t="shared" ref="V13:V19" si="0">IF($W$9,$AC13,$R13)</f>
        <v>b)Motion detector</v>
      </c>
      <c r="W13" s="217"/>
      <c r="X13" s="219" t="str">
        <f>$R$13</f>
        <v>b)Motion detector</v>
      </c>
      <c r="Y13" s="218"/>
      <c r="AA13" s="230">
        <v>2</v>
      </c>
      <c r="AB13" s="231" t="s">
        <v>258</v>
      </c>
      <c r="AC13" s="150" t="s">
        <v>272</v>
      </c>
      <c r="AD13" s="232">
        <v>0.9</v>
      </c>
      <c r="AE13" s="233" t="b">
        <v>1</v>
      </c>
    </row>
    <row r="14" spans="1:31" ht="17.25" x14ac:dyDescent="0.35">
      <c r="A14" s="284"/>
      <c r="B14" s="284"/>
      <c r="C14" s="588" t="s">
        <v>323</v>
      </c>
      <c r="D14" s="602" t="s">
        <v>26</v>
      </c>
      <c r="E14" s="580" t="s">
        <v>302</v>
      </c>
      <c r="F14" s="580"/>
      <c r="G14" s="580"/>
      <c r="H14" s="580"/>
      <c r="I14" s="580"/>
      <c r="J14" s="580"/>
      <c r="K14" s="580"/>
      <c r="L14" s="580"/>
      <c r="M14" s="580"/>
      <c r="N14" s="597">
        <v>0.9</v>
      </c>
      <c r="O14" s="284"/>
      <c r="P14" s="230">
        <v>3</v>
      </c>
      <c r="Q14" s="231" t="s">
        <v>259</v>
      </c>
      <c r="R14" s="150" t="s">
        <v>273</v>
      </c>
      <c r="S14" s="232">
        <v>0.7</v>
      </c>
      <c r="T14" s="233" t="b">
        <v>1</v>
      </c>
      <c r="U14" s="208"/>
      <c r="V14" s="219" t="str">
        <f t="shared" si="0"/>
        <v>c)Motion detector</v>
      </c>
      <c r="W14" s="217"/>
      <c r="X14" s="219" t="str">
        <f>$R$14</f>
        <v>c)Motion detector</v>
      </c>
      <c r="Y14" s="218"/>
      <c r="AA14" s="230">
        <v>3</v>
      </c>
      <c r="AB14" s="231" t="s">
        <v>259</v>
      </c>
      <c r="AC14" s="150" t="s">
        <v>273</v>
      </c>
      <c r="AD14" s="232">
        <v>0.7</v>
      </c>
      <c r="AE14" s="233" t="b">
        <v>1</v>
      </c>
    </row>
    <row r="15" spans="1:31" ht="57.75" customHeight="1" x14ac:dyDescent="0.35">
      <c r="A15" s="284"/>
      <c r="B15" s="290"/>
      <c r="C15" s="588"/>
      <c r="D15" s="603"/>
      <c r="E15" s="605" t="s">
        <v>324</v>
      </c>
      <c r="F15" s="605"/>
      <c r="G15" s="605"/>
      <c r="H15" s="605"/>
      <c r="I15" s="605"/>
      <c r="J15" s="605"/>
      <c r="K15" s="605"/>
      <c r="L15" s="605"/>
      <c r="M15" s="605"/>
      <c r="N15" s="597"/>
      <c r="O15" s="284"/>
      <c r="P15" s="230">
        <v>4</v>
      </c>
      <c r="Q15" s="231" t="s">
        <v>260</v>
      </c>
      <c r="R15" s="150" t="s">
        <v>282</v>
      </c>
      <c r="S15" s="232">
        <v>0.85</v>
      </c>
      <c r="T15" s="233" t="b">
        <v>0</v>
      </c>
      <c r="U15" s="208"/>
      <c r="V15" s="219" t="str">
        <f t="shared" si="0"/>
        <v>d)Motion detector</v>
      </c>
      <c r="W15" s="217"/>
      <c r="X15" s="219" t="str">
        <f>$R$15</f>
        <v>d)Programmable dimming system</v>
      </c>
      <c r="Y15" s="218"/>
      <c r="AA15" s="230">
        <v>4</v>
      </c>
      <c r="AB15" s="231" t="s">
        <v>260</v>
      </c>
      <c r="AC15" s="150" t="s">
        <v>334</v>
      </c>
      <c r="AD15" s="232">
        <v>0.55000000000000004</v>
      </c>
      <c r="AE15" s="233" t="b">
        <v>1</v>
      </c>
    </row>
    <row r="16" spans="1:31" ht="36.75" customHeight="1" x14ac:dyDescent="0.35">
      <c r="A16" s="284"/>
      <c r="B16" s="290"/>
      <c r="C16" s="588"/>
      <c r="D16" s="604"/>
      <c r="E16" s="606" t="s">
        <v>325</v>
      </c>
      <c r="F16" s="606"/>
      <c r="G16" s="606"/>
      <c r="H16" s="606"/>
      <c r="I16" s="606"/>
      <c r="J16" s="606"/>
      <c r="K16" s="606"/>
      <c r="L16" s="606"/>
      <c r="M16" s="606"/>
      <c r="N16" s="597"/>
      <c r="O16" s="284"/>
      <c r="P16" s="230">
        <v>5</v>
      </c>
      <c r="Q16" s="231" t="s">
        <v>261</v>
      </c>
      <c r="R16" s="150" t="s">
        <v>283</v>
      </c>
      <c r="S16" s="232">
        <v>0.5</v>
      </c>
      <c r="T16" s="233" t="b">
        <v>0</v>
      </c>
      <c r="U16" s="149"/>
      <c r="V16" s="219" t="str">
        <f t="shared" si="0"/>
        <v>e)Manual dimming system</v>
      </c>
      <c r="W16" s="217"/>
      <c r="X16" s="219" t="str">
        <f>$R$16</f>
        <v>e)Fixed dimming</v>
      </c>
      <c r="Y16" s="218"/>
      <c r="AA16" s="230">
        <v>5</v>
      </c>
      <c r="AB16" s="231" t="s">
        <v>261</v>
      </c>
      <c r="AC16" s="150" t="s">
        <v>335</v>
      </c>
      <c r="AD16" s="232">
        <v>0.85</v>
      </c>
      <c r="AE16" s="233" t="b">
        <v>1</v>
      </c>
    </row>
    <row r="17" spans="1:31" ht="12.75" customHeight="1" x14ac:dyDescent="0.35">
      <c r="A17" s="284"/>
      <c r="B17" s="290"/>
      <c r="C17" s="588"/>
      <c r="D17" s="601" t="s">
        <v>31</v>
      </c>
      <c r="E17" s="596" t="s">
        <v>303</v>
      </c>
      <c r="F17" s="592"/>
      <c r="G17" s="592"/>
      <c r="H17" s="592"/>
      <c r="I17" s="592"/>
      <c r="J17" s="592"/>
      <c r="K17" s="592"/>
      <c r="L17" s="592"/>
      <c r="M17" s="592"/>
      <c r="N17" s="597">
        <v>0.7</v>
      </c>
      <c r="O17" s="284"/>
      <c r="P17" s="230">
        <v>6</v>
      </c>
      <c r="Q17" s="231" t="s">
        <v>262</v>
      </c>
      <c r="R17" s="150" t="s">
        <v>284</v>
      </c>
      <c r="S17" s="232">
        <v>0.85</v>
      </c>
      <c r="T17" s="233" t="b">
        <v>1</v>
      </c>
      <c r="U17" s="208"/>
      <c r="V17" s="219" t="str">
        <f t="shared" si="0"/>
        <v>f)Programmable dimming system</v>
      </c>
      <c r="W17" s="217"/>
      <c r="X17" s="219" t="str">
        <f>$R$17</f>
        <v>f)Lumen depreciation dimming</v>
      </c>
      <c r="Y17" s="218"/>
      <c r="AA17" s="230">
        <v>6</v>
      </c>
      <c r="AB17" s="231" t="s">
        <v>262</v>
      </c>
      <c r="AC17" s="150" t="s">
        <v>337</v>
      </c>
      <c r="AD17" s="232">
        <v>0.85</v>
      </c>
      <c r="AE17" s="233" t="b">
        <v>1</v>
      </c>
    </row>
    <row r="18" spans="1:31" x14ac:dyDescent="0.35">
      <c r="A18" s="284"/>
      <c r="B18" s="290"/>
      <c r="C18" s="589"/>
      <c r="D18" s="601"/>
      <c r="E18" s="592"/>
      <c r="F18" s="592"/>
      <c r="G18" s="592"/>
      <c r="H18" s="592"/>
      <c r="I18" s="592"/>
      <c r="J18" s="592"/>
      <c r="K18" s="592"/>
      <c r="L18" s="592"/>
      <c r="M18" s="592"/>
      <c r="N18" s="597"/>
      <c r="O18" s="284"/>
      <c r="P18" s="230">
        <v>7</v>
      </c>
      <c r="Q18" s="231" t="s">
        <v>263</v>
      </c>
      <c r="R18" s="150" t="s">
        <v>285</v>
      </c>
      <c r="S18" s="232">
        <v>0.4</v>
      </c>
      <c r="T18" s="233" t="b">
        <v>1</v>
      </c>
      <c r="U18" s="208"/>
      <c r="V18" s="219" t="str">
        <f t="shared" si="0"/>
        <v>g)Dynamic dimming system (fluoros)</v>
      </c>
      <c r="W18" s="217"/>
      <c r="X18" s="219" t="str">
        <f>$R$18</f>
        <v>g)Two stage sensor</v>
      </c>
      <c r="Y18" s="218"/>
      <c r="AA18" s="230">
        <v>7</v>
      </c>
      <c r="AB18" s="231" t="s">
        <v>263</v>
      </c>
      <c r="AC18" s="150" t="s">
        <v>338</v>
      </c>
      <c r="AD18" s="232">
        <v>0.9</v>
      </c>
      <c r="AE18" s="233" t="b">
        <v>1</v>
      </c>
    </row>
    <row r="19" spans="1:31" ht="12.75" customHeight="1" x14ac:dyDescent="0.35">
      <c r="A19" s="284"/>
      <c r="B19" s="290"/>
      <c r="C19" s="589"/>
      <c r="D19" s="601" t="s">
        <v>304</v>
      </c>
      <c r="E19" s="596" t="s">
        <v>305</v>
      </c>
      <c r="F19" s="592"/>
      <c r="G19" s="592"/>
      <c r="H19" s="592"/>
      <c r="I19" s="592"/>
      <c r="J19" s="592"/>
      <c r="K19" s="592"/>
      <c r="L19" s="592"/>
      <c r="M19" s="592"/>
      <c r="N19" s="597">
        <v>0.55000000000000004</v>
      </c>
      <c r="O19" s="284"/>
      <c r="P19" s="230">
        <v>8</v>
      </c>
      <c r="Q19" s="231" t="s">
        <v>264</v>
      </c>
      <c r="R19" s="150" t="s">
        <v>286</v>
      </c>
      <c r="S19" s="232">
        <v>0.7</v>
      </c>
      <c r="T19" s="233" t="b">
        <v>1</v>
      </c>
      <c r="U19" s="149"/>
      <c r="V19" s="219" t="str">
        <f t="shared" si="0"/>
        <v>h)Dynamic dimming system (discharge)</v>
      </c>
      <c r="W19" s="217"/>
      <c r="X19" s="219" t="str">
        <f>$R$19</f>
        <v>h)Two stage sensor</v>
      </c>
      <c r="Y19" s="218"/>
      <c r="AA19" s="230">
        <v>8</v>
      </c>
      <c r="AB19" s="231" t="s">
        <v>264</v>
      </c>
      <c r="AC19" s="150" t="s">
        <v>339</v>
      </c>
      <c r="AD19" s="232">
        <v>0.8</v>
      </c>
      <c r="AE19" s="233" t="b">
        <v>1</v>
      </c>
    </row>
    <row r="20" spans="1:31" ht="25.5" customHeight="1" x14ac:dyDescent="0.4">
      <c r="A20" s="284"/>
      <c r="B20" s="290"/>
      <c r="C20" s="589"/>
      <c r="D20" s="595"/>
      <c r="E20" s="592"/>
      <c r="F20" s="592"/>
      <c r="G20" s="592"/>
      <c r="H20" s="592"/>
      <c r="I20" s="592"/>
      <c r="J20" s="592"/>
      <c r="K20" s="592"/>
      <c r="L20" s="592"/>
      <c r="M20" s="592"/>
      <c r="N20" s="597"/>
      <c r="O20" s="290"/>
      <c r="P20" s="230">
        <v>9</v>
      </c>
      <c r="Q20" s="231" t="s">
        <v>265</v>
      </c>
      <c r="R20" s="150" t="s">
        <v>287</v>
      </c>
      <c r="S20" s="232">
        <v>0.5</v>
      </c>
      <c r="T20" s="233" t="b">
        <v>1</v>
      </c>
      <c r="U20" s="149"/>
      <c r="V20" s="219" t="str">
        <f>IF(W9,AC20,IF(COUNTIF(Class_5_to_9b_List,W$11)&gt;0,$R20,"i)NA for this Class"))</f>
        <v>i)Additional lumen depreciation factor</v>
      </c>
      <c r="W20" s="217"/>
      <c r="X20" s="219" t="str">
        <f>IF(COUNTIF(Class_5_to_9b_List,Y$11)&gt;0,$R20,"i)NA for this Class")</f>
        <v>i)NA for this Class</v>
      </c>
      <c r="Y20" s="218"/>
      <c r="AA20" s="230">
        <v>9</v>
      </c>
      <c r="AB20" s="231" t="s">
        <v>265</v>
      </c>
      <c r="AC20" s="163" t="s">
        <v>340</v>
      </c>
      <c r="AD20" s="232"/>
      <c r="AE20" s="234" t="b">
        <v>0</v>
      </c>
    </row>
    <row r="21" spans="1:31" ht="26.25" customHeight="1" x14ac:dyDescent="0.4">
      <c r="A21" s="284"/>
      <c r="B21" s="290"/>
      <c r="C21" s="588" t="s">
        <v>306</v>
      </c>
      <c r="D21" s="594" t="s">
        <v>307</v>
      </c>
      <c r="E21" s="596" t="s">
        <v>326</v>
      </c>
      <c r="F21" s="592"/>
      <c r="G21" s="592"/>
      <c r="H21" s="592"/>
      <c r="I21" s="592"/>
      <c r="J21" s="592"/>
      <c r="K21" s="592"/>
      <c r="L21" s="592"/>
      <c r="M21" s="592"/>
      <c r="N21" s="607">
        <v>0.85</v>
      </c>
      <c r="O21" s="284"/>
      <c r="P21" s="230">
        <v>10</v>
      </c>
      <c r="Q21" s="231" t="s">
        <v>267</v>
      </c>
      <c r="R21" s="163" t="s">
        <v>288</v>
      </c>
      <c r="S21" s="232">
        <v>0.75</v>
      </c>
      <c r="T21" s="234" t="b">
        <v>1</v>
      </c>
      <c r="U21" s="149"/>
      <c r="V21" s="219" t="str">
        <f>IF(W9,AC21,IF(COUNTIF(Class_3_9a_9c_List,W$11)&gt;0,$R$21,"j)NA for this Class"))</f>
        <v>j)Fixed dimming</v>
      </c>
      <c r="W21" s="217"/>
      <c r="X21" s="219" t="str">
        <f>IF(COUNTIF(Class_3_9a_9c_List,Y$11)&gt;0,$R$21,"j)NA for this Class")</f>
        <v>j)NA for this Class</v>
      </c>
      <c r="Y21" s="218"/>
      <c r="AA21" s="230">
        <v>10</v>
      </c>
      <c r="AB21" s="231" t="s">
        <v>267</v>
      </c>
      <c r="AC21" s="163" t="s">
        <v>341</v>
      </c>
      <c r="AD21" s="232"/>
      <c r="AE21" s="234" t="b">
        <v>0</v>
      </c>
    </row>
    <row r="22" spans="1:31" ht="33.75" customHeight="1" x14ac:dyDescent="0.4">
      <c r="A22" s="284"/>
      <c r="B22" s="284"/>
      <c r="C22" s="588"/>
      <c r="D22" s="595"/>
      <c r="E22" s="592"/>
      <c r="F22" s="592"/>
      <c r="G22" s="592"/>
      <c r="H22" s="592"/>
      <c r="I22" s="592"/>
      <c r="J22" s="592"/>
      <c r="K22" s="592"/>
      <c r="L22" s="592"/>
      <c r="M22" s="592"/>
      <c r="N22" s="607"/>
      <c r="O22" s="284"/>
      <c r="P22" s="230">
        <v>11</v>
      </c>
      <c r="Q22" s="231" t="s">
        <v>266</v>
      </c>
      <c r="R22" s="163" t="s">
        <v>289</v>
      </c>
      <c r="S22" s="232">
        <v>0.6</v>
      </c>
      <c r="T22" s="234" t="b">
        <v>1</v>
      </c>
      <c r="U22" s="149"/>
      <c r="V22" s="219" t="str">
        <f>IF(W9,AC22,IF(COUNTIF(Class_5_to_9b_List,W$11)&gt;0,$R$22,"k)NA for this Class"))</f>
        <v>k)Daylight sensor and dynamic lighting</v>
      </c>
      <c r="W22" s="217"/>
      <c r="X22" s="219" t="str">
        <f>IF(COUNTIF(Class_5_to_9b_List,Y$11)&gt;0,$R$22,"k)NA for this Class")</f>
        <v>k)NA for this Class</v>
      </c>
      <c r="Y22" s="218"/>
      <c r="AA22" s="230">
        <v>11</v>
      </c>
      <c r="AB22" s="231" t="s">
        <v>266</v>
      </c>
      <c r="AC22" s="150" t="s">
        <v>289</v>
      </c>
      <c r="AD22" s="232">
        <v>0.5</v>
      </c>
      <c r="AE22" s="233" t="b">
        <v>1</v>
      </c>
    </row>
    <row r="23" spans="1:31" ht="52.9" x14ac:dyDescent="0.5">
      <c r="A23" s="284"/>
      <c r="B23" s="284"/>
      <c r="C23" s="387" t="s">
        <v>67</v>
      </c>
      <c r="D23" s="388" t="s">
        <v>29</v>
      </c>
      <c r="E23" s="596" t="s">
        <v>327</v>
      </c>
      <c r="F23" s="596"/>
      <c r="G23" s="596"/>
      <c r="H23" s="596"/>
      <c r="I23" s="596"/>
      <c r="J23" s="596"/>
      <c r="K23" s="596"/>
      <c r="L23" s="596"/>
      <c r="M23" s="596"/>
      <c r="N23" s="389">
        <v>0.85</v>
      </c>
      <c r="O23" s="284"/>
      <c r="P23" s="230">
        <v>12</v>
      </c>
      <c r="Q23" s="231" t="s">
        <v>268</v>
      </c>
      <c r="R23" s="150" t="s">
        <v>274</v>
      </c>
      <c r="S23" s="232">
        <v>0.8</v>
      </c>
      <c r="T23" s="233" t="b">
        <v>1</v>
      </c>
      <c r="V23" s="219" t="str">
        <f>IF(W9,AC23,IF(COUNTIF(Class_3_9a_9c_List,W$11)&gt;0,$R$23,"l)NA for this Class"))</f>
        <v>l)Daylight sensor and dynamic lighting</v>
      </c>
      <c r="W23" s="217"/>
      <c r="X23" s="219" t="str">
        <f>IF(COUNTIF(Class_3_9a_9c_List,Y$11)&gt;0,$R$23,"l)NA for this Class")</f>
        <v>l)NA for this Class</v>
      </c>
      <c r="Y23" s="218"/>
      <c r="AA23" s="230">
        <v>12</v>
      </c>
      <c r="AB23" s="231" t="s">
        <v>268</v>
      </c>
      <c r="AC23" s="150" t="s">
        <v>274</v>
      </c>
      <c r="AD23" s="232">
        <v>0.6</v>
      </c>
      <c r="AE23" s="233" t="b">
        <v>1</v>
      </c>
    </row>
    <row r="24" spans="1:31" ht="40.5" customHeight="1" thickBot="1" x14ac:dyDescent="0.4">
      <c r="A24" s="284"/>
      <c r="B24" s="284"/>
      <c r="C24" s="588" t="s">
        <v>308</v>
      </c>
      <c r="D24" s="602" t="s">
        <v>27</v>
      </c>
      <c r="E24" s="611" t="s">
        <v>328</v>
      </c>
      <c r="F24" s="611"/>
      <c r="G24" s="611"/>
      <c r="H24" s="611"/>
      <c r="I24" s="611"/>
      <c r="J24" s="611"/>
      <c r="K24" s="611"/>
      <c r="L24" s="611"/>
      <c r="M24" s="611"/>
      <c r="N24" s="608" t="s">
        <v>329</v>
      </c>
      <c r="O24" s="284"/>
      <c r="P24" s="235">
        <v>13</v>
      </c>
      <c r="Q24" s="236"/>
      <c r="R24" s="237">
        <v>0</v>
      </c>
      <c r="S24" s="238"/>
      <c r="T24" s="239" t="b">
        <v>0</v>
      </c>
      <c r="U24" t="s">
        <v>290</v>
      </c>
      <c r="V24" s="220"/>
      <c r="W24" s="221"/>
      <c r="X24" s="222"/>
      <c r="Y24" s="225"/>
      <c r="AA24" s="235">
        <v>13</v>
      </c>
      <c r="AB24" s="236"/>
      <c r="AC24" s="237">
        <v>0</v>
      </c>
      <c r="AD24" s="238"/>
      <c r="AE24" s="239" t="b">
        <v>1</v>
      </c>
    </row>
    <row r="25" spans="1:31" ht="27.95" customHeight="1" x14ac:dyDescent="0.35">
      <c r="A25" s="284"/>
      <c r="B25" s="284"/>
      <c r="C25" s="588"/>
      <c r="D25" s="603"/>
      <c r="E25" s="612"/>
      <c r="F25" s="612"/>
      <c r="G25" s="612"/>
      <c r="H25" s="612"/>
      <c r="I25" s="612"/>
      <c r="J25" s="612"/>
      <c r="K25" s="612"/>
      <c r="L25" s="612"/>
      <c r="M25" s="612"/>
      <c r="N25" s="608"/>
      <c r="O25" s="284"/>
      <c r="P25" t="s">
        <v>299</v>
      </c>
      <c r="R25" s="212"/>
      <c r="V25" s="214"/>
      <c r="W25" s="214"/>
      <c r="X25" s="214"/>
      <c r="Y25" s="214"/>
    </row>
    <row r="26" spans="1:31" ht="42" customHeight="1" x14ac:dyDescent="0.35">
      <c r="A26" s="284"/>
      <c r="B26" s="284"/>
      <c r="C26" s="588"/>
      <c r="D26" s="604"/>
      <c r="E26" s="613"/>
      <c r="F26" s="613"/>
      <c r="G26" s="613"/>
      <c r="H26" s="613"/>
      <c r="I26" s="613"/>
      <c r="J26" s="613"/>
      <c r="K26" s="613"/>
      <c r="L26" s="613"/>
      <c r="M26" s="613"/>
      <c r="N26" s="608"/>
      <c r="O26" s="284"/>
      <c r="P26" s="250"/>
      <c r="Q26" s="251"/>
      <c r="R26" s="251" t="s">
        <v>196</v>
      </c>
      <c r="S26" s="252" t="s">
        <v>197</v>
      </c>
      <c r="V26" s="214" t="s">
        <v>291</v>
      </c>
      <c r="W26" s="214"/>
      <c r="X26" s="214"/>
      <c r="Y26" s="214"/>
    </row>
    <row r="27" spans="1:31" ht="38.25" customHeight="1" x14ac:dyDescent="0.35">
      <c r="A27" s="284"/>
      <c r="B27" s="284"/>
      <c r="C27" s="588"/>
      <c r="D27" s="602" t="s">
        <v>28</v>
      </c>
      <c r="E27" s="580" t="s">
        <v>330</v>
      </c>
      <c r="F27" s="580"/>
      <c r="G27" s="580"/>
      <c r="H27" s="580"/>
      <c r="I27" s="580"/>
      <c r="J27" s="580"/>
      <c r="K27" s="580"/>
      <c r="L27" s="580"/>
      <c r="M27" s="580"/>
      <c r="N27" s="608" t="s">
        <v>331</v>
      </c>
      <c r="O27" s="284"/>
      <c r="P27" s="245">
        <v>1</v>
      </c>
      <c r="Q27" s="1" t="s">
        <v>257</v>
      </c>
      <c r="R27" s="1" t="s">
        <v>296</v>
      </c>
      <c r="S27" s="246">
        <v>0.9</v>
      </c>
      <c r="V27" s="260" t="s">
        <v>292</v>
      </c>
      <c r="W27" s="258"/>
      <c r="X27" s="259" t="s">
        <v>294</v>
      </c>
      <c r="Y27" s="213"/>
    </row>
    <row r="28" spans="1:31" ht="38.25" customHeight="1" x14ac:dyDescent="0.35">
      <c r="A28" s="284"/>
      <c r="B28" s="284"/>
      <c r="C28" s="588"/>
      <c r="D28" s="603"/>
      <c r="E28" s="581"/>
      <c r="F28" s="581"/>
      <c r="G28" s="581"/>
      <c r="H28" s="581"/>
      <c r="I28" s="581"/>
      <c r="J28" s="581"/>
      <c r="K28" s="581"/>
      <c r="L28" s="581"/>
      <c r="M28" s="581"/>
      <c r="N28" s="608"/>
      <c r="O28" s="284"/>
      <c r="P28" s="245">
        <v>2</v>
      </c>
      <c r="Q28" s="1" t="s">
        <v>258</v>
      </c>
      <c r="R28" s="1" t="s">
        <v>297</v>
      </c>
      <c r="S28" s="246">
        <v>0.8</v>
      </c>
      <c r="V28" s="261" t="s">
        <v>38</v>
      </c>
      <c r="W28" s="254"/>
      <c r="X28" s="255" t="s">
        <v>36</v>
      </c>
      <c r="Y28" s="213"/>
    </row>
    <row r="29" spans="1:31" ht="26.25" customHeight="1" x14ac:dyDescent="0.35">
      <c r="A29" s="284"/>
      <c r="B29" s="284"/>
      <c r="C29" s="588"/>
      <c r="D29" s="604"/>
      <c r="E29" s="582"/>
      <c r="F29" s="582"/>
      <c r="G29" s="582"/>
      <c r="H29" s="582"/>
      <c r="I29" s="582"/>
      <c r="J29" s="582"/>
      <c r="K29" s="582"/>
      <c r="L29" s="582"/>
      <c r="M29" s="582"/>
      <c r="N29" s="608"/>
      <c r="O29" s="284"/>
      <c r="P29" s="245">
        <v>3</v>
      </c>
      <c r="Q29" s="1" t="s">
        <v>259</v>
      </c>
      <c r="R29" s="1" t="s">
        <v>298</v>
      </c>
      <c r="S29" s="246">
        <v>1.1000000000000001</v>
      </c>
      <c r="V29" s="261" t="s">
        <v>39</v>
      </c>
      <c r="W29" s="254"/>
      <c r="X29" s="255" t="s">
        <v>43</v>
      </c>
      <c r="Y29" s="213"/>
    </row>
    <row r="30" spans="1:31" ht="26.25" customHeight="1" x14ac:dyDescent="0.35">
      <c r="A30" s="284"/>
      <c r="B30" s="284"/>
      <c r="C30" s="588"/>
      <c r="D30" s="602" t="s">
        <v>332</v>
      </c>
      <c r="E30" s="580" t="s">
        <v>352</v>
      </c>
      <c r="F30" s="580"/>
      <c r="G30" s="580"/>
      <c r="H30" s="580"/>
      <c r="I30" s="580"/>
      <c r="J30" s="580"/>
      <c r="K30" s="580"/>
      <c r="L30" s="580"/>
      <c r="M30" s="580"/>
      <c r="N30" s="608" t="s">
        <v>309</v>
      </c>
      <c r="O30" s="284"/>
      <c r="P30" s="247">
        <v>4</v>
      </c>
      <c r="Q30" s="248" t="s">
        <v>260</v>
      </c>
      <c r="R30" s="248">
        <v>0</v>
      </c>
      <c r="S30" s="249"/>
      <c r="V30" s="261" t="s">
        <v>293</v>
      </c>
      <c r="W30" s="1"/>
      <c r="X30" s="255" t="s">
        <v>41</v>
      </c>
    </row>
    <row r="31" spans="1:31" x14ac:dyDescent="0.35">
      <c r="A31" s="284"/>
      <c r="B31" s="284"/>
      <c r="C31" s="588"/>
      <c r="D31" s="603"/>
      <c r="E31" s="581"/>
      <c r="F31" s="581"/>
      <c r="G31" s="581"/>
      <c r="H31" s="581"/>
      <c r="I31" s="581"/>
      <c r="J31" s="581"/>
      <c r="K31" s="581"/>
      <c r="L31" s="581"/>
      <c r="M31" s="581"/>
      <c r="N31" s="609"/>
      <c r="O31" s="284"/>
      <c r="V31" s="261" t="s">
        <v>40</v>
      </c>
      <c r="W31" s="1"/>
      <c r="X31" s="246"/>
    </row>
    <row r="32" spans="1:31" ht="13.5" customHeight="1" x14ac:dyDescent="0.35">
      <c r="A32" s="284"/>
      <c r="B32" s="284"/>
      <c r="C32" s="588"/>
      <c r="D32" s="603"/>
      <c r="E32" s="581"/>
      <c r="F32" s="581"/>
      <c r="G32" s="581"/>
      <c r="H32" s="581"/>
      <c r="I32" s="581"/>
      <c r="J32" s="581"/>
      <c r="K32" s="581"/>
      <c r="L32" s="581"/>
      <c r="M32" s="581"/>
      <c r="N32" s="609"/>
      <c r="O32" s="284"/>
      <c r="V32" s="261" t="s">
        <v>41</v>
      </c>
      <c r="W32" s="1"/>
      <c r="X32" s="246"/>
    </row>
    <row r="33" spans="1:31" ht="38.25" customHeight="1" x14ac:dyDescent="0.35">
      <c r="A33" s="284"/>
      <c r="B33" s="284"/>
      <c r="C33" s="588"/>
      <c r="D33" s="604"/>
      <c r="E33" s="582"/>
      <c r="F33" s="582"/>
      <c r="G33" s="582"/>
      <c r="H33" s="582"/>
      <c r="I33" s="582"/>
      <c r="J33" s="582"/>
      <c r="K33" s="582"/>
      <c r="L33" s="582"/>
      <c r="M33" s="582"/>
      <c r="N33" s="609"/>
      <c r="O33" s="284"/>
      <c r="V33" s="262" t="s">
        <v>42</v>
      </c>
      <c r="W33" s="256"/>
      <c r="X33" s="257"/>
    </row>
    <row r="34" spans="1:31" ht="82.5" customHeight="1" x14ac:dyDescent="0.35">
      <c r="A34" s="284"/>
      <c r="B34" s="284"/>
      <c r="C34" s="390" t="s">
        <v>310</v>
      </c>
      <c r="D34" s="391" t="s">
        <v>279</v>
      </c>
      <c r="E34" s="596" t="s">
        <v>311</v>
      </c>
      <c r="F34" s="592"/>
      <c r="G34" s="592"/>
      <c r="H34" s="592"/>
      <c r="I34" s="592"/>
      <c r="J34" s="592"/>
      <c r="K34" s="592"/>
      <c r="L34" s="592"/>
      <c r="M34" s="592"/>
      <c r="N34" s="392" t="s">
        <v>312</v>
      </c>
      <c r="O34" s="284"/>
      <c r="P34" s="1"/>
      <c r="Q34" s="1"/>
    </row>
    <row r="35" spans="1:31" ht="54.75" customHeight="1" x14ac:dyDescent="0.35">
      <c r="A35" s="284"/>
      <c r="B35" s="284"/>
      <c r="C35" s="588" t="s">
        <v>367</v>
      </c>
      <c r="D35" s="388" t="s">
        <v>368</v>
      </c>
      <c r="E35" s="596" t="s">
        <v>313</v>
      </c>
      <c r="F35" s="595"/>
      <c r="G35" s="595"/>
      <c r="H35" s="595"/>
      <c r="I35" s="595"/>
      <c r="J35" s="595"/>
      <c r="K35" s="595"/>
      <c r="L35" s="595"/>
      <c r="M35" s="595"/>
      <c r="N35" s="389">
        <v>0.5</v>
      </c>
      <c r="O35" s="284"/>
    </row>
    <row r="36" spans="1:31" ht="174" customHeight="1" x14ac:dyDescent="0.35">
      <c r="A36" s="284"/>
      <c r="B36" s="290"/>
      <c r="C36" s="588"/>
      <c r="D36" s="393" t="s">
        <v>280</v>
      </c>
      <c r="E36" s="610" t="s">
        <v>314</v>
      </c>
      <c r="F36" s="595"/>
      <c r="G36" s="595"/>
      <c r="H36" s="595"/>
      <c r="I36" s="595"/>
      <c r="J36" s="595"/>
      <c r="K36" s="595"/>
      <c r="L36" s="595"/>
      <c r="M36" s="595"/>
      <c r="N36" s="389">
        <v>0.6</v>
      </c>
      <c r="O36" s="284"/>
    </row>
    <row r="37" spans="1:31" ht="26.25" customHeight="1" x14ac:dyDescent="0.5">
      <c r="A37" s="284"/>
      <c r="B37" s="290"/>
      <c r="C37" s="394"/>
      <c r="D37" s="395"/>
      <c r="E37" s="396"/>
      <c r="F37" s="396"/>
      <c r="G37" s="396"/>
      <c r="H37" s="396"/>
      <c r="I37" s="396"/>
      <c r="J37" s="396"/>
      <c r="K37" s="396"/>
      <c r="L37" s="396"/>
      <c r="M37" s="396"/>
      <c r="N37" s="397"/>
      <c r="O37" s="284"/>
    </row>
    <row r="38" spans="1:31" ht="17.649999999999999" x14ac:dyDescent="0.5">
      <c r="A38" s="284"/>
      <c r="B38" s="290"/>
      <c r="C38" s="398"/>
      <c r="D38" s="399" t="s">
        <v>209</v>
      </c>
      <c r="E38" s="400"/>
      <c r="F38" s="400"/>
      <c r="G38" s="400"/>
      <c r="H38" s="400"/>
      <c r="I38" s="400"/>
      <c r="J38" s="400"/>
      <c r="K38" s="400"/>
      <c r="L38" s="400"/>
      <c r="M38" s="400"/>
      <c r="N38" s="401"/>
      <c r="O38" s="284"/>
      <c r="AA38" s="208"/>
      <c r="AB38" s="208"/>
      <c r="AC38" s="208"/>
      <c r="AD38" s="208"/>
      <c r="AE38" s="208"/>
    </row>
    <row r="39" spans="1:31" s="208" customFormat="1" ht="39.75" customHeight="1" x14ac:dyDescent="0.5">
      <c r="A39" s="284"/>
      <c r="B39" s="290"/>
      <c r="C39" s="402"/>
      <c r="D39" s="403" t="s">
        <v>68</v>
      </c>
      <c r="E39" s="598" t="s">
        <v>315</v>
      </c>
      <c r="F39" s="598"/>
      <c r="G39" s="598"/>
      <c r="H39" s="598"/>
      <c r="I39" s="598"/>
      <c r="J39" s="598"/>
      <c r="K39" s="598"/>
      <c r="L39" s="598"/>
      <c r="M39" s="598"/>
      <c r="N39" s="599"/>
      <c r="O39" s="284"/>
    </row>
    <row r="40" spans="1:31" s="208" customFormat="1" ht="42.75" customHeight="1" x14ac:dyDescent="0.5">
      <c r="A40" s="284"/>
      <c r="B40" s="290"/>
      <c r="C40" s="402"/>
      <c r="D40" s="403" t="s">
        <v>69</v>
      </c>
      <c r="E40" s="598" t="s">
        <v>316</v>
      </c>
      <c r="F40" s="598"/>
      <c r="G40" s="598"/>
      <c r="H40" s="598"/>
      <c r="I40" s="598"/>
      <c r="J40" s="598"/>
      <c r="K40" s="598"/>
      <c r="L40" s="598"/>
      <c r="M40" s="598"/>
      <c r="N40" s="599"/>
      <c r="O40" s="284"/>
      <c r="AA40"/>
      <c r="AB40"/>
      <c r="AC40"/>
      <c r="AD40"/>
      <c r="AE40"/>
    </row>
    <row r="41" spans="1:31" ht="60" customHeight="1" x14ac:dyDescent="0.5">
      <c r="A41" s="284"/>
      <c r="B41" s="290"/>
      <c r="C41" s="402"/>
      <c r="D41" s="403" t="s">
        <v>70</v>
      </c>
      <c r="E41" s="598" t="s">
        <v>317</v>
      </c>
      <c r="F41" s="598"/>
      <c r="G41" s="598"/>
      <c r="H41" s="598"/>
      <c r="I41" s="598"/>
      <c r="J41" s="598"/>
      <c r="K41" s="598"/>
      <c r="L41" s="598"/>
      <c r="M41" s="598"/>
      <c r="N41" s="599"/>
      <c r="O41" s="284"/>
    </row>
    <row r="42" spans="1:31" ht="42.75" customHeight="1" x14ac:dyDescent="0.5">
      <c r="A42" s="284"/>
      <c r="B42" s="290"/>
      <c r="C42" s="402"/>
      <c r="D42" s="403" t="s">
        <v>71</v>
      </c>
      <c r="E42" s="598" t="s">
        <v>318</v>
      </c>
      <c r="F42" s="598"/>
      <c r="G42" s="598"/>
      <c r="H42" s="598"/>
      <c r="I42" s="598"/>
      <c r="J42" s="598"/>
      <c r="K42" s="598"/>
      <c r="L42" s="598"/>
      <c r="M42" s="598"/>
      <c r="N42" s="599"/>
      <c r="O42" s="284"/>
    </row>
    <row r="43" spans="1:31" ht="51.75" customHeight="1" x14ac:dyDescent="0.35">
      <c r="A43" s="284"/>
      <c r="B43" s="290"/>
      <c r="C43" s="404"/>
      <c r="D43" s="403" t="s">
        <v>319</v>
      </c>
      <c r="E43" s="598" t="s">
        <v>320</v>
      </c>
      <c r="F43" s="598"/>
      <c r="G43" s="598"/>
      <c r="H43" s="598"/>
      <c r="I43" s="598"/>
      <c r="J43" s="598"/>
      <c r="K43" s="598"/>
      <c r="L43" s="598"/>
      <c r="M43" s="598"/>
      <c r="N43" s="599"/>
      <c r="O43" s="284"/>
      <c r="P43" s="1"/>
      <c r="Q43" s="1"/>
      <c r="R43" s="1"/>
      <c r="S43" s="1"/>
    </row>
    <row r="44" spans="1:31" ht="17.649999999999999" x14ac:dyDescent="0.5">
      <c r="A44" s="284"/>
      <c r="B44" s="290"/>
      <c r="C44" s="405"/>
      <c r="D44" s="406"/>
      <c r="E44" s="407"/>
      <c r="F44" s="407"/>
      <c r="G44" s="407"/>
      <c r="H44" s="407"/>
      <c r="I44" s="407"/>
      <c r="J44" s="407"/>
      <c r="K44" s="407"/>
      <c r="L44" s="407"/>
      <c r="M44" s="407"/>
      <c r="N44" s="408"/>
      <c r="O44" s="290"/>
      <c r="P44" s="1"/>
      <c r="Q44" s="1"/>
      <c r="R44" s="1"/>
      <c r="S44" s="1"/>
      <c r="X44" s="60"/>
      <c r="Y44" s="60"/>
      <c r="AA44" s="60"/>
      <c r="AB44" s="60"/>
      <c r="AC44" s="60"/>
      <c r="AD44" s="60"/>
      <c r="AE44" s="60"/>
    </row>
    <row r="45" spans="1:31" s="60" customFormat="1" ht="33.75" customHeight="1" x14ac:dyDescent="0.35">
      <c r="A45" s="291"/>
      <c r="B45" s="291"/>
      <c r="C45" s="290"/>
      <c r="D45" s="284"/>
      <c r="E45" s="284"/>
      <c r="F45" s="284"/>
      <c r="G45" s="284"/>
      <c r="H45" s="284"/>
      <c r="I45" s="284"/>
      <c r="J45" s="284"/>
      <c r="K45" s="284"/>
      <c r="L45" s="284"/>
      <c r="M45" s="284"/>
      <c r="N45" s="294"/>
      <c r="O45" s="292"/>
      <c r="P45" s="61"/>
      <c r="Q45" s="61"/>
      <c r="R45" s="61"/>
      <c r="S45" s="61"/>
      <c r="U45"/>
      <c r="V45"/>
      <c r="W45"/>
      <c r="X45"/>
      <c r="Y45"/>
      <c r="AA45"/>
      <c r="AB45"/>
      <c r="AC45"/>
      <c r="AD45"/>
      <c r="AE45"/>
    </row>
    <row r="46" spans="1:31" ht="25.5" customHeight="1" x14ac:dyDescent="0.35">
      <c r="A46" s="284"/>
      <c r="B46" s="284"/>
      <c r="C46" s="284"/>
      <c r="D46" s="284"/>
      <c r="E46" s="284"/>
      <c r="F46" s="284"/>
      <c r="G46" s="284"/>
      <c r="H46" s="284"/>
      <c r="I46" s="284"/>
      <c r="J46" s="284"/>
      <c r="K46" s="284"/>
      <c r="L46" s="284"/>
      <c r="M46" s="284"/>
      <c r="N46" s="294"/>
      <c r="O46" s="293"/>
      <c r="P46" s="7"/>
      <c r="Q46" s="7"/>
      <c r="R46" s="7"/>
      <c r="S46" s="7"/>
    </row>
    <row r="47" spans="1:31" ht="38.25" customHeight="1" x14ac:dyDescent="0.35">
      <c r="A47" s="284"/>
      <c r="B47" s="284"/>
      <c r="C47" s="583"/>
      <c r="D47" s="583"/>
      <c r="E47" s="583"/>
      <c r="F47" s="583"/>
      <c r="G47" s="583"/>
      <c r="H47" s="583"/>
      <c r="I47" s="583"/>
      <c r="J47" s="583"/>
      <c r="K47" s="583"/>
      <c r="L47" s="284"/>
      <c r="M47" s="284"/>
      <c r="N47" s="294"/>
      <c r="O47" s="294"/>
      <c r="P47" s="6"/>
      <c r="Q47" s="6"/>
      <c r="R47" s="6"/>
      <c r="S47" s="6"/>
    </row>
    <row r="48" spans="1:31" ht="38.25" customHeight="1" x14ac:dyDescent="0.35">
      <c r="A48" s="284"/>
      <c r="B48" s="284"/>
      <c r="C48" s="290"/>
      <c r="D48" s="284"/>
      <c r="E48" s="284"/>
      <c r="F48" s="284"/>
      <c r="G48" s="284"/>
      <c r="H48" s="284"/>
      <c r="I48" s="284"/>
      <c r="J48" s="284"/>
      <c r="K48" s="284"/>
      <c r="L48" s="284"/>
      <c r="M48" s="284"/>
      <c r="N48" s="290"/>
      <c r="O48" s="294"/>
      <c r="P48" s="6"/>
      <c r="Q48" s="6"/>
      <c r="R48" s="6"/>
      <c r="S48" s="6"/>
    </row>
  </sheetData>
  <sheetProtection algorithmName="SHA-512" hashValue="rCsvllsIhKg58ija9dyWFUmx9RHGBDwtKsJpl+BSHslK+fQFJ6ZbSpECA7av82/ZVBWDwiTA6GR1P9hDUmIZlA==" saltValue="Xjm8lCdzsTM7NRg7qq5zSUU490ZQvYbHAtYmUPFlSvV2fR+FzxlqcPVvaKJjGhlgGs+8hf+e01c1PlLefwciacxCdIdtTQgb9zZ1piIghALIfeDqdP+bwTC0vRLkEWoE91EUEQiL3FK51mFTPYocNlo6bpMdHsG59cyxz9Nm5FU6kGOGC4cN9GevpORqStWsxz+DzMd0bfkElk/OtoALqCCQx6eARA7et3FjCArm7M9oGQkjDlRetJ0FyZeWEdcvP/E3YQDevFtHluDsteweZst3KGBMYjJ/i1qneWEnUh7oX3lPNFBG9wMSCp9NGv3uD9rymLNLY2X2kgdozlqhYNtndTYscVi+TBYleHcGe71OAS9T//gP2gzQCOWIUjTKxJxd/+VecHgdXtpjLtHhVSfJZTIrHHDYATS39+i3Ht9NDW//jnClwfsmq2Bh5a53KhC+2rYjTnkEjT9oGIrHXeP+Y+wKAzP5Cwmoe30XKoYg04V3NrYgFYIJHUZn6m+T3m+8pTDQtx91Lc5dEliCjAu+naingdCK/9h0fO2E5OuK5VItefQgp/QPmkR0VQo9Z62ir+VytfxYgfoqKElJn7moVL7A4rE5uETZ9xytcyZLP/4g5qQfUZ4ABWQ5Q3kkZJnMlBFyt4GMaQUZF2qgWjs+SMkhXsQaJt3Lu0NGBkATEKvdCfKN6ExRxWsYrTKa736d//yX8vNVtSdhXTB/Ovy7v2xIt38WRsbQ2c4L3qp50eUL0mxQgplo7Vbk/GVsdFs3wVuL2PCOEtCVxTk0rYb0XYaN5SGvbHEJ/R1AlDLUEuno9LfCpcKZLeAVmrgbqHvmLp+pM60TbeSGB1V2Im9B1hDKUQ9VUeA0ydNYE9aMmWolIT5O7PfIBHj7QFTSlKKGzoCXDsy/oLeZrdTYmdHUnAm1jFuYrjmf7wbotufi68SgcSLZ4J3xHAYmpniuvUj0qbQpT3/pRLEdGFJ6huvL8NmqsV9IpTRjNH5TEie/MaCaPkZ5aZW8ZrDMrZVcYzeuHlfI4G9WYm9Q0np+7XIpthbU7Xs8MgeDk/nkS1FXI2+r41pfZHIm6nq7pxMl4KGxA4MLUhZ2EL5l3qzeo/HzhFlwCvUv1bwwenlpV4wGs13tcwgDgAfeDxVh3kITGfg4WgHLR7uudkWoNxONTlIfXF4und0jIeAW2zfgiEKboFCze7nibVek9X4c7HtknHWIfXfr+n+G1QbVpaiTa+y0Fz81Ta7iGz1p95XeH9fS9gBr1kRVGFEXNSEi9O/j2SFsIekazPK9JY8Qys87UmfRTf8YxRLaqhqW5MtDsgbEwSAXrCatxcInY2W1j3fE47NlVEsr5FmqpI41m5lr24igT7W5pn29J/odOguSQ7LNeSoVjnhbMrSLAcXxNM0vawPZbByGGqhCIXpM7onh76aiXP9I39XmeUu+RWIr3iyZ9xXZGWiwt3BDpacfErW7eCLTuWzZnxn3Ju/PG+POvG7HCJGYxS03tnkG/0tqZM9YiyoBVNx8fsavtiFOj+wMhtQd5a/OMYiCcarRABCMyNIuoOqZFqB8An7TdMYx825//6y50AZQBTIOQ5XW3odZNvLDFsxS2a8dmMBPeXQhPSFRayDbTY3wJWC7JTJnR2ZvccjyTJOcv0L8TDdUL3cSHD1Epj4MpBAwmROyHszE9sWL7iqCTiFc7UWpl+oBloi1vFm6tJ/lXptoeo89POv7iQtli8pkWTfqkQQDW4YJVP6Oy/rPhRZzG4HE2L3f4euzu6bE28hQ/ETqX2/wZfjRGoEGn5YEZtMOTE7EuLp43z7IAkkgPPNIXe0t8SukhbWKgoJU6eZm8hLDnyF1mDPw7b5Nh/qbo6nMS444LRcWIr4hBfnavyNWL0An0ToBmxFyrsdQIeWDCHSG1XCb6icUbTntwYnlGjW2bTCIvEBKagZ/aOYaUC0BgEdmmulxFMpcQpkJax6fW3tQ/VCJv1Z/yNBZTpp/XClg9tO79baJw8v4rxwjecL9Zh52L5qWrFG+pVuI2GV+nYQuZcOL00t4D57ezXZ7bEVFGUumivtSlPsOf6Sm2HpzXSQLbsjRLo5nBRAJfW+L2dRcK033OzYfeyKm195JltMOw4JJ34F7ks2MAh3ibZ0xZk7dIKhM91cpkXrhN1l1TLRb4rB7GuwIrzhefzWGVbqtatVD4Pm3hDeTNyhC+14K4YGGhGLAlCtJRCldiBkKuQvqo21mYkvgwq+203DoozwqjX5BfzC4B6DlDIMECHoXPxocTY/vePP0+TTKTd9tHA7ZoDhOJn0n54tAL5MJ1aekJ/eZ4QJ8m//kIPRTnVHSAMxl/bUXk1I8jZ/kUgnp/VRkev7A+CmSReT417hiS8yQu584xzUcjk7Fdxvo7BPf1ppy8XB75eNwU4QNfZLrzJmfwU/1JvEVRJ2Jd+TeKfGUDBe26O7zo9r/rKR6Cb9Fau8GRLwtG3tCRMtdyzFinR0fOlyn5IxHJj7y8cSXbBSmO80Gw3G+6Tis1i7YL/DNnqFCPVyqPzaB9VRTDc1gBVsbhaIY/egkW591Yz3wN5hQnbxEbKE/RTl6jpt2AWJQFENAcqyBwh/I8ymCOSh11fZ5UP5I4F80LvktrUbQF81aLvPwI/lXKxcJ3jQAL/FzzrgUhXHs2UI78skflDqh3w/CInbb4odGSWUGSuf5hjb4ZwG4aRIPLyaTT48SwAO7PMiogWFVc7tlTcRtVxkZ6uz0GMnRF7wv5JMC2cF9/1EfBfJo1RLX3X6nKs1Rha5G8ZCRvVJX66HjXE4Bvt1WHa8atd83dV2rCZ5QIy66f4SnFGO+j/fwZ7hpi7eDnedDUGMFqY3mjzmVLqfgK9KBAKP9docuuVORO1zYVl+m926HIDYxoC37pjxwRgK+G4OS3ud9Z6/RSXMU2Q8ucB2R6hI04S1TKxLp7millpSoR2iPwQL09hu+hQK7cY8oWkGGsYjnY/lk8ppaGq0LD0Iw9nUnf1GuMJic+Vy1qiVIv52I8VTPcB/OloSRJupMJy3aF0eqnzC5FKJePJFsiQBq+7O1wS4j95YvKxM/benBAa5XH5SmbcOlrPdXfa5GOijDZlUVEj4R3uXZ9LM3Nl4q8yrsFQMT+ndcDraxGtWg1bm60b1k7LdiLgkn+uBfvPad+Nc6Bg3n07odN4Jo1z0NL77B9qecVRYVDwZ/8C25WNSbiiqhLcnnos/qd3KwOnfuq47OR/ll5J+7MgE7gUkxZosHmXydVG4OU4ftQhQQvhooRa97Mqm6qDrVFA9CT6wI+Eou3EBfHVj1eZ9NBwfGQ1D23BjVfM2UzA3/9l3kNugCXAFXyqgB2uUl+t4B+KZr3i/bb8ey0WHsSmX394W5OeupACaV2j+HohFwOrS0nbwtIHMOwDotY6//pQEEtef4Lr6aYpKCxgFkKM3xXBfAFWDejcKnZOBb0InVFhZfqI5/C/mcSXKwsPcerEg+ac3EWWc+C/ZHhxzVBEFV1aYtUCqDKJHmvzFCGybZJT7hrqq2FgrRyU0EnXZ9jySkKOM0sx1rf/KjJehY9ViuhoGWieYJ5x416jA0PUHJhQFMMgCwhlKM2d8PQqX13dvBEML7aucSNT5OgIPFqIPf+huKOECwhyBmQ3iS34mSjPBfZ4FxiPhIo7aKqki6alRdpF/GLR5Rkhi1P1xutHTVtKZcRnn+Qg8K+zS/NowEr9FsmglB/QdMwq7//gs9lDyN0N5LXqad58hDY52Z7/GN82k57Ofs/zWTLPLYAsi+uPdIEPkfNeiXZKNfISP3qAZfS/8o48X+D/QSSU3natMMnL2zFA6DpZ8T7E1FyCY+QdqZAY0NhCTq1tM6Si2yjTVmF7dbYlV2TctKkjOJO3LIvlh7BjOLePjL0zdHL60REYZ9LmtN5BfaVzlret3J8bKrDnzU/4WgldvwT/SOJaHon3LZ1ZiI+cAWCd0vtONIXndIScoL6ysySlLp+UU6plSwSTLkeCXY6KmhYYusg86WVKNjzjfCT7vGeaEGSPIa597KKbsbm0eRztXw5TBjBSoumUzD1D3hcQWgytlkw+4/O7J8heWEi6bJuZS1uYKjRS1vhgJPFJqPOM1d1ygJbTCxWDCW+sNiXsfFxSouklJbHvodkkLl4SVLmwD4SEK/+VQ8IJGrCBX87HmC7M5qzytRZn0ZE9xDURltbGLQ/ILWyYimK5PLoooPVdY3TP7yiQ9PoUqH7Zxh2Z38UZsdOCyimFxfbVB4R3Who3G5Pol4uMKSRhpc/NFqrKbcr5q40m5RAAmgtEy9gbKL6Tmjyq8TRUvrH3dLVmjVi133ZF9VVhcpNbub1bty7Zgr+W1o0UGn9pONwUwaHHIeIWgBxi4PAvmHda8Bw6Llu59hTt/07i+E21qLE0Ef3OoS6K2Xr1mc7htFNSgZqnrQC+QubQR1XV6wBsNJPqaAhhK15LzZswIapKnfW/OhtMgsMhQSsV7zPqnWbOMGeDv0v+0B0vRo0oCsO3Jwz5om+hYGUYBrGw1M70FP5JWaOtFzvqwjIm6Ksgg7Fhg/WgyDf2twRjJkd8HnEcm6gd8w0KP7M9Ld1jstYioc+GXv0v5YTdvj9yG94p9xh4DzrF4W255mBkUsqGEHntbmNVyJTgLV6d0QpY7+uWLUiHH8EIfQPO7peF2/QNcfH6cnvUhf+Rp8cnsYBEsguqOHMB/Ry3foTq94ME0RqcdXEMF/JREjRYWEbq9yYaKChycLrh+5t3Bgl0kAJBenhhn74aDTeBaYcC86jgoMmw0at27qZHLlFpJLc6rawO14PU9BDaLfMkv1D/1DqmqHC6K5+ZooPxW4mL1JNSpt2AThjiSu7/ljDZXZ8wK5eUnEsCExouFJSQu59ScfM5beUlKXQPnEgAQWdwi1EFaC5c1n74DcPimTd7W1hBCsbPyLrpm5hvBmOH3nGhoZNv9YvPAnNC5uKp77dhg14mKN16sfveEdjssV29qvIz0rwh1yBx6548pEK4+DGEwst1keJbaJaGZv5dP0cmtUr0iY2YCgaiTAlWyIuHhSjPProF+HM9IPFLjAu+flprDI8PClcNrULVL+kJehCU8Et1NQnqocYaCm0OmPqOj7w1/S8p3SibVSSC41VCuk9Uxw2wymmPdBjieviwDzkv313S4SSHsL6v13h2/6znZ+RNRjsSctYNCC0L4mygY3BkWk/WimjDiR+7sIk/uGAyxXxeCqjSbJtz/j3ddAhMRu5lSrMf/22WOu/0xyW3/wXKNePlJFKhXgmzwl7h/Jw/bwHebsRVdTQJSWwlbzEu3DGBOdRaJ9nfqDYaIQ1K9ljM64K6n0eRcNjokKoSGcZm85NVdfhb6tONFBodl+MRGhNF0Sg/O2QG82cKRM5eje7ydjNq9tmtvDZsjj0CudZ4NdAiuHyhu8s3P/Hhl0b6t2E+3yFkDgp0tQIUKzcbav48outgsryPbakZF7eD2A6qIg0a8l1655GOwWanYGfb9F64S2IeWo/9AxYRglDSrok/BWirN2BypXmggpn7st0+XUYzlR3MmN7iVdiRePHTSmLeYm/hb5Sl+/MV7w1U8izIkZ+m+ToRl5xnuEUX1RdTTNA0ZqtMPiM0G7yUHWO0cIhWyQozM25Xf+cAQsyBqEnjevAtlD9J/zPCKZhinxYfucKUALX3AgY/8DU4r0VoIPS85D6S5IYoka5s+4YXptx/iDcB3dSeNSy32Fi7lYonLl/Ug4CD1LOrVEUIAGk7+u4gljWsWWdWTecDOnQNIlHTqrRYm25HzsunNWDpnAsJxIXNhLYqNlA23dIo8taCRqFyavMUyTXoZdBUE+UCzIG1qUkIMTgrGNxL3PR0Cds2uL8OGijO4iP8nBuTesMhCEQeGzy8BUGqhbzqTjZahXeGajyG9xPPMregM8V59X2ViDWJcPrVrT5cn6L06+QeYuwqo6p3HieTGmbWHEcMUO/pi3xOT5kmFCzXSX0wyVl/Ga1qmgEdKYi8RYpfFjJb4IU5yZ70csLmRQDcZ/DvbOhan5FDXMZ5eK0bZpscXabBCWu4/KoHQeosOW1wQ1JwV1RqZ5HZZzU/tvnFN2Iphz+XIQu5FtS2MlotoYt3+kXYytznfNeOyPeY8K5FMSGos4004+/nRWw3ttcu9jlbJJ+6luFX4iV0n0IvguDPlkLOawLO8He6zfdBbL1ZzvSSoM+81aondQvSUMNmEA/wTI4U83cHVPgGq6DWx0kHd9Z9qwf+j7i8Q/idGIqrFFVviYihWNFtjexYlck1nhEH6mDGCUIwzo2qgSYs75OXP+6ehtVa8/RZ6j0y+9PTXw0tWPDwnVPTe+u5xhszkK9CKHTGyvsGrtOZPIN+0op0NFoiAs+ARkjyyn/XWTOTG3o6+RsBIDDw/znwBJEH7zh5qdzvDLufA/6/aR/Nnwr/MivKw57PY3andOtNgTjwpfX5Q+zYCenAitEQBUikLFzzn2LnkEwlHYdn90CXpyL2hR6tM7bZt4SrBCOF0pXGk0/Ii1fCPed847d9md+KgfCPlQ2mgEIDgfY+hPnJT4QhiqBe4nfHHlKBYIj/2L1UJS/2rGjFCy+Iqv8+EURxPBZgGqOq60uiebFWaOjg//1zsYShDYlSNYmgUZFi44ZIHavDydx95bYgc=" spinCount="10000000" sheet="1" objects="1" scenarios="1" selectLockedCells="1"/>
  <mergeCells count="46">
    <mergeCell ref="E39:N39"/>
    <mergeCell ref="E40:N40"/>
    <mergeCell ref="C24:C33"/>
    <mergeCell ref="N30:N33"/>
    <mergeCell ref="E34:M34"/>
    <mergeCell ref="N24:N26"/>
    <mergeCell ref="N27:N29"/>
    <mergeCell ref="C35:C36"/>
    <mergeCell ref="E35:M35"/>
    <mergeCell ref="E36:M36"/>
    <mergeCell ref="D24:D26"/>
    <mergeCell ref="E24:M26"/>
    <mergeCell ref="D27:D29"/>
    <mergeCell ref="E27:M29"/>
    <mergeCell ref="E43:N43"/>
    <mergeCell ref="C21:C22"/>
    <mergeCell ref="D5:L5"/>
    <mergeCell ref="C14:C20"/>
    <mergeCell ref="D17:D18"/>
    <mergeCell ref="E17:M18"/>
    <mergeCell ref="N17:N18"/>
    <mergeCell ref="D19:D20"/>
    <mergeCell ref="E19:M20"/>
    <mergeCell ref="N19:N20"/>
    <mergeCell ref="D14:D16"/>
    <mergeCell ref="E14:M14"/>
    <mergeCell ref="E15:M15"/>
    <mergeCell ref="E16:M16"/>
    <mergeCell ref="N21:N22"/>
    <mergeCell ref="D30:D33"/>
    <mergeCell ref="A6:O7"/>
    <mergeCell ref="E30:M33"/>
    <mergeCell ref="C47:K47"/>
    <mergeCell ref="C9:C11"/>
    <mergeCell ref="D9:M11"/>
    <mergeCell ref="N9:N11"/>
    <mergeCell ref="C12:C13"/>
    <mergeCell ref="D12:D13"/>
    <mergeCell ref="E12:M13"/>
    <mergeCell ref="N12:N13"/>
    <mergeCell ref="D21:D22"/>
    <mergeCell ref="E21:M22"/>
    <mergeCell ref="E23:M23"/>
    <mergeCell ref="N14:N16"/>
    <mergeCell ref="E41:N41"/>
    <mergeCell ref="E42:N42"/>
  </mergeCells>
  <phoneticPr fontId="3" type="noConversion"/>
  <pageMargins left="0.25" right="0.25" top="0.75" bottom="0.75" header="0.3" footer="0.3"/>
  <pageSetup paperSize="9" scale="44"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B378"/>
  <sheetViews>
    <sheetView zoomScaleNormal="100" workbookViewId="0">
      <selection activeCell="A9" sqref="A9"/>
    </sheetView>
  </sheetViews>
  <sheetFormatPr defaultColWidth="8.86328125" defaultRowHeight="12.75" x14ac:dyDescent="0.35"/>
  <cols>
    <col min="1" max="1" width="2.1328125" customWidth="1"/>
  </cols>
  <sheetData>
    <row r="1" spans="2:2" ht="13.15" x14ac:dyDescent="0.4">
      <c r="B1" s="82" t="s">
        <v>74</v>
      </c>
    </row>
    <row r="2" spans="2:2" x14ac:dyDescent="0.35">
      <c r="B2" s="83" t="s">
        <v>78</v>
      </c>
    </row>
    <row r="3" spans="2:2" x14ac:dyDescent="0.35">
      <c r="B3" s="83" t="s">
        <v>75</v>
      </c>
    </row>
    <row r="4" spans="2:2" x14ac:dyDescent="0.35">
      <c r="B4" s="83" t="s">
        <v>76</v>
      </c>
    </row>
    <row r="5" spans="2:2" x14ac:dyDescent="0.35">
      <c r="B5" s="84" t="s">
        <v>77</v>
      </c>
    </row>
    <row r="9" spans="2:2" s="42" customFormat="1" x14ac:dyDescent="0.35"/>
    <row r="10" spans="2:2" s="42" customFormat="1" x14ac:dyDescent="0.35"/>
    <row r="11" spans="2:2" s="42" customFormat="1" x14ac:dyDescent="0.35"/>
    <row r="12" spans="2:2" s="42" customFormat="1" x14ac:dyDescent="0.35"/>
    <row r="13" spans="2:2" s="42" customFormat="1" x14ac:dyDescent="0.35"/>
    <row r="14" spans="2:2" s="42" customFormat="1" x14ac:dyDescent="0.35"/>
    <row r="15" spans="2:2" s="42" customFormat="1" x14ac:dyDescent="0.35"/>
    <row r="16" spans="2:2" s="42" customFormat="1" x14ac:dyDescent="0.35"/>
    <row r="17" s="42" customFormat="1" x14ac:dyDescent="0.35"/>
    <row r="18" s="42" customFormat="1" x14ac:dyDescent="0.35"/>
    <row r="19" s="42" customFormat="1" x14ac:dyDescent="0.35"/>
    <row r="20" s="42" customFormat="1" x14ac:dyDescent="0.35"/>
    <row r="21" s="42" customFormat="1" x14ac:dyDescent="0.35"/>
    <row r="22" s="42" customFormat="1" x14ac:dyDescent="0.35"/>
    <row r="23" s="42" customFormat="1" x14ac:dyDescent="0.35"/>
    <row r="24" s="42" customFormat="1" x14ac:dyDescent="0.35"/>
    <row r="25" s="42" customFormat="1" x14ac:dyDescent="0.35"/>
    <row r="26" s="42" customFormat="1" x14ac:dyDescent="0.35"/>
    <row r="27" s="42" customFormat="1" x14ac:dyDescent="0.35"/>
    <row r="28" s="42" customFormat="1" x14ac:dyDescent="0.35"/>
    <row r="29" s="42" customFormat="1" x14ac:dyDescent="0.35"/>
    <row r="30" s="42" customFormat="1" x14ac:dyDescent="0.35"/>
    <row r="31" s="42" customFormat="1" x14ac:dyDescent="0.35"/>
    <row r="32" s="42" customFormat="1" x14ac:dyDescent="0.35"/>
    <row r="33" s="42" customFormat="1" x14ac:dyDescent="0.35"/>
    <row r="34" s="42" customFormat="1" x14ac:dyDescent="0.35"/>
    <row r="35" s="42" customFormat="1" x14ac:dyDescent="0.35"/>
    <row r="36" s="42" customFormat="1" x14ac:dyDescent="0.35"/>
    <row r="37" s="42" customFormat="1" x14ac:dyDescent="0.35"/>
    <row r="38" s="42" customFormat="1" x14ac:dyDescent="0.35"/>
    <row r="39" s="42" customFormat="1" x14ac:dyDescent="0.35"/>
    <row r="40" s="42" customFormat="1" x14ac:dyDescent="0.35"/>
    <row r="41" s="42" customFormat="1" x14ac:dyDescent="0.35"/>
    <row r="42" s="42" customFormat="1" x14ac:dyDescent="0.35"/>
    <row r="43" s="42" customFormat="1" x14ac:dyDescent="0.35"/>
    <row r="44" s="42" customFormat="1" x14ac:dyDescent="0.35"/>
    <row r="45" s="42" customFormat="1" x14ac:dyDescent="0.35"/>
    <row r="46" s="42" customFormat="1" x14ac:dyDescent="0.35"/>
    <row r="47" s="42" customFormat="1" x14ac:dyDescent="0.35"/>
    <row r="48" s="42" customFormat="1" x14ac:dyDescent="0.35"/>
    <row r="49" s="42" customFormat="1" x14ac:dyDescent="0.35"/>
    <row r="50" s="42" customFormat="1" x14ac:dyDescent="0.35"/>
    <row r="51" s="42" customFormat="1" x14ac:dyDescent="0.35"/>
    <row r="52" s="42" customFormat="1" x14ac:dyDescent="0.35"/>
    <row r="53" s="42" customFormat="1" x14ac:dyDescent="0.35"/>
    <row r="54" s="42" customFormat="1" x14ac:dyDescent="0.35"/>
    <row r="55" s="42" customFormat="1" x14ac:dyDescent="0.35"/>
    <row r="56" s="42" customFormat="1" x14ac:dyDescent="0.35"/>
    <row r="57" s="42" customFormat="1" x14ac:dyDescent="0.35"/>
    <row r="58" s="42" customFormat="1" x14ac:dyDescent="0.35"/>
    <row r="59" s="42" customFormat="1" x14ac:dyDescent="0.35"/>
    <row r="60" s="42" customFormat="1" x14ac:dyDescent="0.35"/>
    <row r="61" s="42" customFormat="1" x14ac:dyDescent="0.35"/>
    <row r="62" s="42" customFormat="1" x14ac:dyDescent="0.35"/>
    <row r="63" s="42" customFormat="1" x14ac:dyDescent="0.35"/>
    <row r="64" s="42" customFormat="1" x14ac:dyDescent="0.35"/>
    <row r="65" s="42" customFormat="1" x14ac:dyDescent="0.35"/>
    <row r="66" s="42" customFormat="1" x14ac:dyDescent="0.35"/>
    <row r="67" s="42" customFormat="1" x14ac:dyDescent="0.35"/>
    <row r="68" s="42" customFormat="1" x14ac:dyDescent="0.35"/>
    <row r="69" s="42" customFormat="1" x14ac:dyDescent="0.35"/>
    <row r="70" s="42" customFormat="1" x14ac:dyDescent="0.35"/>
    <row r="71" s="42" customFormat="1" x14ac:dyDescent="0.35"/>
    <row r="72" s="42" customFormat="1" x14ac:dyDescent="0.35"/>
    <row r="73" s="42" customFormat="1" x14ac:dyDescent="0.35"/>
    <row r="74" s="42" customFormat="1" x14ac:dyDescent="0.35"/>
    <row r="75" s="42" customFormat="1" x14ac:dyDescent="0.35"/>
    <row r="76" s="42" customFormat="1" x14ac:dyDescent="0.35"/>
    <row r="77" s="42" customFormat="1" x14ac:dyDescent="0.35"/>
    <row r="78" s="42" customFormat="1" x14ac:dyDescent="0.35"/>
    <row r="79" s="42" customFormat="1" x14ac:dyDescent="0.35"/>
    <row r="80" s="42" customFormat="1" x14ac:dyDescent="0.35"/>
    <row r="81" s="42" customFormat="1" x14ac:dyDescent="0.35"/>
    <row r="82" s="42" customFormat="1" x14ac:dyDescent="0.35"/>
    <row r="83" s="42" customFormat="1" x14ac:dyDescent="0.35"/>
    <row r="84" s="42" customFormat="1" x14ac:dyDescent="0.35"/>
    <row r="85" s="42" customFormat="1" x14ac:dyDescent="0.35"/>
    <row r="86" s="42" customFormat="1" x14ac:dyDescent="0.35"/>
    <row r="87" s="42" customFormat="1" x14ac:dyDescent="0.35"/>
    <row r="88" s="42" customFormat="1" x14ac:dyDescent="0.35"/>
    <row r="89" s="42" customFormat="1" x14ac:dyDescent="0.35"/>
    <row r="90" s="42" customFormat="1" x14ac:dyDescent="0.35"/>
    <row r="91" s="42" customFormat="1" x14ac:dyDescent="0.35"/>
    <row r="92" s="42" customFormat="1" x14ac:dyDescent="0.35"/>
    <row r="93" s="42" customFormat="1" x14ac:dyDescent="0.35"/>
    <row r="94" s="42" customFormat="1" x14ac:dyDescent="0.35"/>
    <row r="95" s="42" customFormat="1" x14ac:dyDescent="0.35"/>
    <row r="96" s="42" customFormat="1" x14ac:dyDescent="0.35"/>
    <row r="97" s="42" customFormat="1" x14ac:dyDescent="0.35"/>
    <row r="98" s="42" customFormat="1" x14ac:dyDescent="0.35"/>
    <row r="99" s="42" customFormat="1" x14ac:dyDescent="0.35"/>
    <row r="100" s="42" customFormat="1" x14ac:dyDescent="0.35"/>
    <row r="101" s="42" customFormat="1" x14ac:dyDescent="0.35"/>
    <row r="102" s="42" customFormat="1" x14ac:dyDescent="0.35"/>
    <row r="103" s="42" customFormat="1" x14ac:dyDescent="0.35"/>
    <row r="104" s="42" customFormat="1" x14ac:dyDescent="0.35"/>
    <row r="105" s="42" customFormat="1" x14ac:dyDescent="0.35"/>
    <row r="106" s="42" customFormat="1" x14ac:dyDescent="0.35"/>
    <row r="107" s="42" customFormat="1" x14ac:dyDescent="0.35"/>
    <row r="108" s="42" customFormat="1" x14ac:dyDescent="0.35"/>
    <row r="109" s="42" customFormat="1" x14ac:dyDescent="0.35"/>
    <row r="110" s="42" customFormat="1" x14ac:dyDescent="0.35"/>
    <row r="111" s="42" customFormat="1" x14ac:dyDescent="0.35"/>
    <row r="112" s="42" customFormat="1" x14ac:dyDescent="0.35"/>
    <row r="113" s="42" customFormat="1" x14ac:dyDescent="0.35"/>
    <row r="114" s="42" customFormat="1" x14ac:dyDescent="0.35"/>
    <row r="115" s="42" customFormat="1" x14ac:dyDescent="0.35"/>
    <row r="116" s="42" customFormat="1" x14ac:dyDescent="0.35"/>
    <row r="117" s="42" customFormat="1" x14ac:dyDescent="0.35"/>
    <row r="118" s="42" customFormat="1" x14ac:dyDescent="0.35"/>
    <row r="119" s="42" customFormat="1" x14ac:dyDescent="0.35"/>
    <row r="120" s="42" customFormat="1" x14ac:dyDescent="0.35"/>
    <row r="121" s="42" customFormat="1" x14ac:dyDescent="0.35"/>
    <row r="122" s="42" customFormat="1" x14ac:dyDescent="0.35"/>
    <row r="123" s="42" customFormat="1" x14ac:dyDescent="0.35"/>
    <row r="124" s="42" customFormat="1" x14ac:dyDescent="0.35"/>
    <row r="125" s="42" customFormat="1" x14ac:dyDescent="0.35"/>
    <row r="126" s="42" customFormat="1" x14ac:dyDescent="0.35"/>
    <row r="127" s="42" customFormat="1" x14ac:dyDescent="0.35"/>
    <row r="128" s="42" customFormat="1" x14ac:dyDescent="0.35"/>
    <row r="129" s="42" customFormat="1" x14ac:dyDescent="0.35"/>
    <row r="130" s="42" customFormat="1" x14ac:dyDescent="0.35"/>
    <row r="131" s="42" customFormat="1" x14ac:dyDescent="0.35"/>
    <row r="132" s="42" customFormat="1" x14ac:dyDescent="0.35"/>
    <row r="133" s="42" customFormat="1" x14ac:dyDescent="0.35"/>
    <row r="134" s="42" customFormat="1" x14ac:dyDescent="0.35"/>
    <row r="135" s="42" customFormat="1" x14ac:dyDescent="0.35"/>
    <row r="136" s="42" customFormat="1" x14ac:dyDescent="0.35"/>
    <row r="137" s="42" customFormat="1" x14ac:dyDescent="0.35"/>
    <row r="138" s="42" customFormat="1" x14ac:dyDescent="0.35"/>
    <row r="139" s="42" customFormat="1" x14ac:dyDescent="0.35"/>
    <row r="140" s="42" customFormat="1" x14ac:dyDescent="0.35"/>
    <row r="141" s="42" customFormat="1" x14ac:dyDescent="0.35"/>
    <row r="142" s="42" customFormat="1" x14ac:dyDescent="0.35"/>
    <row r="143" s="42" customFormat="1" x14ac:dyDescent="0.35"/>
    <row r="144" s="42" customFormat="1" x14ac:dyDescent="0.35"/>
    <row r="145" s="42" customFormat="1" x14ac:dyDescent="0.35"/>
    <row r="146" s="42" customFormat="1" x14ac:dyDescent="0.35"/>
    <row r="147" s="42" customFormat="1" x14ac:dyDescent="0.35"/>
    <row r="148" s="42" customFormat="1" x14ac:dyDescent="0.35"/>
    <row r="149" s="42" customFormat="1" x14ac:dyDescent="0.35"/>
    <row r="150" s="42" customFormat="1" x14ac:dyDescent="0.35"/>
    <row r="151" s="42" customFormat="1" x14ac:dyDescent="0.35"/>
    <row r="152" s="42" customFormat="1" x14ac:dyDescent="0.35"/>
    <row r="153" s="42" customFormat="1" x14ac:dyDescent="0.35"/>
    <row r="154" s="42" customFormat="1" x14ac:dyDescent="0.35"/>
    <row r="155" s="42" customFormat="1" x14ac:dyDescent="0.35"/>
    <row r="156" s="42" customFormat="1" x14ac:dyDescent="0.35"/>
    <row r="157" s="42" customFormat="1" x14ac:dyDescent="0.35"/>
    <row r="158" s="42" customFormat="1" x14ac:dyDescent="0.35"/>
    <row r="159" s="42" customFormat="1" x14ac:dyDescent="0.35"/>
    <row r="160" s="42" customFormat="1" x14ac:dyDescent="0.35"/>
    <row r="161" s="42" customFormat="1" x14ac:dyDescent="0.35"/>
    <row r="162" s="42" customFormat="1" x14ac:dyDescent="0.35"/>
    <row r="163" s="42" customFormat="1" x14ac:dyDescent="0.35"/>
    <row r="164" s="42" customFormat="1" x14ac:dyDescent="0.35"/>
    <row r="165" s="42" customFormat="1" x14ac:dyDescent="0.35"/>
    <row r="166" s="42" customFormat="1" x14ac:dyDescent="0.35"/>
    <row r="167" s="42" customFormat="1" x14ac:dyDescent="0.35"/>
    <row r="168" s="42" customFormat="1" x14ac:dyDescent="0.35"/>
    <row r="169" s="42" customFormat="1" x14ac:dyDescent="0.35"/>
    <row r="170" s="42" customFormat="1" x14ac:dyDescent="0.35"/>
    <row r="171" s="42" customFormat="1" x14ac:dyDescent="0.35"/>
    <row r="172" s="42" customFormat="1" x14ac:dyDescent="0.35"/>
    <row r="173" s="42" customFormat="1" x14ac:dyDescent="0.35"/>
    <row r="174" s="42" customFormat="1" x14ac:dyDescent="0.35"/>
    <row r="175" s="42" customFormat="1" x14ac:dyDescent="0.35"/>
    <row r="176" s="42" customFormat="1" x14ac:dyDescent="0.35"/>
    <row r="177" s="42" customFormat="1" x14ac:dyDescent="0.35"/>
    <row r="178" s="42" customFormat="1" x14ac:dyDescent="0.35"/>
    <row r="179" s="42" customFormat="1" x14ac:dyDescent="0.35"/>
    <row r="180" s="42" customFormat="1" x14ac:dyDescent="0.35"/>
    <row r="181" s="42" customFormat="1" x14ac:dyDescent="0.35"/>
    <row r="182" s="42" customFormat="1" x14ac:dyDescent="0.35"/>
    <row r="183" s="42" customFormat="1" x14ac:dyDescent="0.35"/>
    <row r="184" s="42" customFormat="1" x14ac:dyDescent="0.35"/>
    <row r="185" s="42" customFormat="1" x14ac:dyDescent="0.35"/>
    <row r="186" s="42" customFormat="1" x14ac:dyDescent="0.35"/>
    <row r="187" s="42" customFormat="1" x14ac:dyDescent="0.35"/>
    <row r="188" s="42" customFormat="1" x14ac:dyDescent="0.35"/>
    <row r="189" s="42" customFormat="1" x14ac:dyDescent="0.35"/>
    <row r="190" s="42" customFormat="1" x14ac:dyDescent="0.35"/>
    <row r="191" s="42" customFormat="1" x14ac:dyDescent="0.35"/>
    <row r="192" s="42" customFormat="1" x14ac:dyDescent="0.35"/>
    <row r="193" s="42" customFormat="1" x14ac:dyDescent="0.35"/>
    <row r="194" s="42" customFormat="1" x14ac:dyDescent="0.35"/>
    <row r="195" s="42" customFormat="1" x14ac:dyDescent="0.35"/>
    <row r="196" s="42" customFormat="1" x14ac:dyDescent="0.35"/>
    <row r="197" s="42" customFormat="1" x14ac:dyDescent="0.35"/>
    <row r="198" s="42" customFormat="1" x14ac:dyDescent="0.35"/>
    <row r="199" s="42" customFormat="1" x14ac:dyDescent="0.35"/>
    <row r="200" s="42" customFormat="1" x14ac:dyDescent="0.35"/>
    <row r="201" s="42" customFormat="1" x14ac:dyDescent="0.35"/>
    <row r="202" s="42" customFormat="1" x14ac:dyDescent="0.35"/>
    <row r="203" s="42" customFormat="1" x14ac:dyDescent="0.35"/>
    <row r="204" s="42" customFormat="1" x14ac:dyDescent="0.35"/>
    <row r="205" s="42" customFormat="1" x14ac:dyDescent="0.35"/>
    <row r="206" s="42" customFormat="1" x14ac:dyDescent="0.35"/>
    <row r="207" s="42" customFormat="1" x14ac:dyDescent="0.35"/>
    <row r="208" s="42" customFormat="1" x14ac:dyDescent="0.35"/>
    <row r="209" s="42" customFormat="1" x14ac:dyDescent="0.35"/>
    <row r="210" s="42" customFormat="1" x14ac:dyDescent="0.35"/>
    <row r="211" s="42" customFormat="1" x14ac:dyDescent="0.35"/>
    <row r="212" s="42" customFormat="1" x14ac:dyDescent="0.35"/>
    <row r="213" s="42" customFormat="1" x14ac:dyDescent="0.35"/>
    <row r="214" s="42" customFormat="1" x14ac:dyDescent="0.35"/>
    <row r="215" s="42" customFormat="1" x14ac:dyDescent="0.35"/>
    <row r="216" s="42" customFormat="1" x14ac:dyDescent="0.35"/>
    <row r="217" s="42" customFormat="1" x14ac:dyDescent="0.35"/>
    <row r="218" s="42" customFormat="1" x14ac:dyDescent="0.35"/>
    <row r="219" s="42" customFormat="1" x14ac:dyDescent="0.35"/>
    <row r="220" s="42" customFormat="1" x14ac:dyDescent="0.35"/>
    <row r="221" s="42" customFormat="1" x14ac:dyDescent="0.35"/>
    <row r="222" s="42" customFormat="1" x14ac:dyDescent="0.35"/>
    <row r="223" s="42" customFormat="1" x14ac:dyDescent="0.35"/>
    <row r="224" s="42" customFormat="1" x14ac:dyDescent="0.35"/>
    <row r="225" s="42" customFormat="1" x14ac:dyDescent="0.35"/>
    <row r="226" s="42" customFormat="1" x14ac:dyDescent="0.35"/>
    <row r="227" s="42" customFormat="1" x14ac:dyDescent="0.35"/>
    <row r="228" s="42" customFormat="1" x14ac:dyDescent="0.35"/>
    <row r="229" s="42" customFormat="1" x14ac:dyDescent="0.35"/>
    <row r="230" s="42" customFormat="1" x14ac:dyDescent="0.35"/>
    <row r="231" s="42" customFormat="1" x14ac:dyDescent="0.35"/>
    <row r="232" s="42" customFormat="1" x14ac:dyDescent="0.35"/>
    <row r="233" s="42" customFormat="1" x14ac:dyDescent="0.35"/>
    <row r="234" s="42" customFormat="1" x14ac:dyDescent="0.35"/>
    <row r="235" s="42" customFormat="1" x14ac:dyDescent="0.35"/>
    <row r="236" s="42" customFormat="1" x14ac:dyDescent="0.35"/>
    <row r="237" s="42" customFormat="1" x14ac:dyDescent="0.35"/>
    <row r="238" s="42" customFormat="1" x14ac:dyDescent="0.35"/>
    <row r="239" s="42" customFormat="1" x14ac:dyDescent="0.35"/>
    <row r="240" s="42" customFormat="1" x14ac:dyDescent="0.35"/>
    <row r="241" s="42" customFormat="1" x14ac:dyDescent="0.35"/>
    <row r="242" s="42" customFormat="1" x14ac:dyDescent="0.35"/>
    <row r="243" s="42" customFormat="1" x14ac:dyDescent="0.35"/>
    <row r="244" s="42" customFormat="1" x14ac:dyDescent="0.35"/>
    <row r="245" s="42" customFormat="1" x14ac:dyDescent="0.35"/>
    <row r="246" s="42" customFormat="1" x14ac:dyDescent="0.35"/>
    <row r="247" s="42" customFormat="1" x14ac:dyDescent="0.35"/>
    <row r="248" s="42" customFormat="1" x14ac:dyDescent="0.35"/>
    <row r="249" s="42" customFormat="1" x14ac:dyDescent="0.35"/>
    <row r="250" s="42" customFormat="1" x14ac:dyDescent="0.35"/>
    <row r="251" s="42" customFormat="1" x14ac:dyDescent="0.35"/>
    <row r="252" s="42" customFormat="1" x14ac:dyDescent="0.35"/>
    <row r="253" s="42" customFormat="1" x14ac:dyDescent="0.35"/>
    <row r="254" s="42" customFormat="1" x14ac:dyDescent="0.35"/>
    <row r="255" s="42" customFormat="1" x14ac:dyDescent="0.35"/>
    <row r="256" s="42" customFormat="1" x14ac:dyDescent="0.35"/>
    <row r="257" s="42" customFormat="1" x14ac:dyDescent="0.35"/>
    <row r="258" s="42" customFormat="1" x14ac:dyDescent="0.35"/>
    <row r="259" s="42" customFormat="1" x14ac:dyDescent="0.35"/>
    <row r="260" s="42" customFormat="1" x14ac:dyDescent="0.35"/>
    <row r="261" s="42" customFormat="1" x14ac:dyDescent="0.35"/>
    <row r="262" s="42" customFormat="1" x14ac:dyDescent="0.35"/>
    <row r="263" s="42" customFormat="1" x14ac:dyDescent="0.35"/>
    <row r="264" s="42" customFormat="1" x14ac:dyDescent="0.35"/>
    <row r="265" s="42" customFormat="1" x14ac:dyDescent="0.35"/>
    <row r="266" s="42" customFormat="1" x14ac:dyDescent="0.35"/>
    <row r="267" s="42" customFormat="1" x14ac:dyDescent="0.35"/>
    <row r="268" s="42" customFormat="1" x14ac:dyDescent="0.35"/>
    <row r="269" s="42" customFormat="1" x14ac:dyDescent="0.35"/>
    <row r="270" s="42" customFormat="1" x14ac:dyDescent="0.35"/>
    <row r="271" s="42" customFormat="1" x14ac:dyDescent="0.35"/>
    <row r="272" s="42" customFormat="1" x14ac:dyDescent="0.35"/>
    <row r="273" s="42" customFormat="1" x14ac:dyDescent="0.35"/>
    <row r="274" s="42" customFormat="1" x14ac:dyDescent="0.35"/>
    <row r="275" s="42" customFormat="1" x14ac:dyDescent="0.35"/>
    <row r="276" s="42" customFormat="1" x14ac:dyDescent="0.35"/>
    <row r="277" s="42" customFormat="1" x14ac:dyDescent="0.35"/>
    <row r="278" s="42" customFormat="1" x14ac:dyDescent="0.35"/>
    <row r="279" s="42" customFormat="1" x14ac:dyDescent="0.35"/>
    <row r="280" s="42" customFormat="1" x14ac:dyDescent="0.35"/>
    <row r="281" s="42" customFormat="1" x14ac:dyDescent="0.35"/>
    <row r="282" s="42" customFormat="1" x14ac:dyDescent="0.35"/>
    <row r="283" s="42" customFormat="1" x14ac:dyDescent="0.35"/>
    <row r="284" s="42" customFormat="1" x14ac:dyDescent="0.35"/>
    <row r="285" s="42" customFormat="1" x14ac:dyDescent="0.35"/>
    <row r="286" s="42" customFormat="1" x14ac:dyDescent="0.35"/>
    <row r="287" s="42" customFormat="1" x14ac:dyDescent="0.35"/>
    <row r="288" s="42" customFormat="1" x14ac:dyDescent="0.35"/>
    <row r="289" s="42" customFormat="1" x14ac:dyDescent="0.35"/>
    <row r="290" s="42" customFormat="1" x14ac:dyDescent="0.35"/>
    <row r="291" s="42" customFormat="1" x14ac:dyDescent="0.35"/>
    <row r="292" s="42" customFormat="1" x14ac:dyDescent="0.35"/>
    <row r="293" s="42" customFormat="1" x14ac:dyDescent="0.35"/>
    <row r="294" s="42" customFormat="1" x14ac:dyDescent="0.35"/>
    <row r="295" s="42" customFormat="1" x14ac:dyDescent="0.35"/>
    <row r="296" s="42" customFormat="1" x14ac:dyDescent="0.35"/>
    <row r="297" s="42" customFormat="1" x14ac:dyDescent="0.35"/>
    <row r="298" s="42" customFormat="1" x14ac:dyDescent="0.35"/>
    <row r="299" s="42" customFormat="1" x14ac:dyDescent="0.35"/>
    <row r="300" s="42" customFormat="1" x14ac:dyDescent="0.35"/>
    <row r="301" s="42" customFormat="1" x14ac:dyDescent="0.35"/>
    <row r="302" s="42" customFormat="1" x14ac:dyDescent="0.35"/>
    <row r="303" s="42" customFormat="1" x14ac:dyDescent="0.35"/>
    <row r="304" s="42" customFormat="1" x14ac:dyDescent="0.35"/>
    <row r="305" s="42" customFormat="1" x14ac:dyDescent="0.35"/>
    <row r="306" s="42" customFormat="1" x14ac:dyDescent="0.35"/>
    <row r="307" s="42" customFormat="1" x14ac:dyDescent="0.35"/>
    <row r="308" s="42" customFormat="1" x14ac:dyDescent="0.35"/>
    <row r="309" s="42" customFormat="1" x14ac:dyDescent="0.35"/>
    <row r="310" s="42" customFormat="1" x14ac:dyDescent="0.35"/>
    <row r="311" s="42" customFormat="1" x14ac:dyDescent="0.35"/>
    <row r="312" s="42" customFormat="1" x14ac:dyDescent="0.35"/>
    <row r="313" s="42" customFormat="1" x14ac:dyDescent="0.35"/>
    <row r="314" s="42" customFormat="1" x14ac:dyDescent="0.35"/>
    <row r="315" s="42" customFormat="1" x14ac:dyDescent="0.35"/>
    <row r="316" s="42" customFormat="1" x14ac:dyDescent="0.35"/>
    <row r="317" s="42" customFormat="1" x14ac:dyDescent="0.35"/>
    <row r="318" s="42" customFormat="1" x14ac:dyDescent="0.35"/>
    <row r="319" s="42" customFormat="1" x14ac:dyDescent="0.35"/>
    <row r="320" s="42" customFormat="1" x14ac:dyDescent="0.35"/>
    <row r="321" s="42" customFormat="1" x14ac:dyDescent="0.35"/>
    <row r="322" s="42" customFormat="1" x14ac:dyDescent="0.35"/>
    <row r="323" s="42" customFormat="1" x14ac:dyDescent="0.35"/>
    <row r="324" s="42" customFormat="1" x14ac:dyDescent="0.35"/>
    <row r="325" s="42" customFormat="1" x14ac:dyDescent="0.35"/>
    <row r="326" s="42" customFormat="1" x14ac:dyDescent="0.35"/>
    <row r="327" s="42" customFormat="1" x14ac:dyDescent="0.35"/>
    <row r="328" s="42" customFormat="1" x14ac:dyDescent="0.35"/>
    <row r="329" s="42" customFormat="1" x14ac:dyDescent="0.35"/>
    <row r="330" s="42" customFormat="1" x14ac:dyDescent="0.35"/>
    <row r="331" s="42" customFormat="1" x14ac:dyDescent="0.35"/>
    <row r="332" s="42" customFormat="1" x14ac:dyDescent="0.35"/>
    <row r="333" s="42" customFormat="1" x14ac:dyDescent="0.35"/>
    <row r="334" s="42" customFormat="1" x14ac:dyDescent="0.35"/>
    <row r="335" s="42" customFormat="1" x14ac:dyDescent="0.35"/>
    <row r="336" s="42" customFormat="1" x14ac:dyDescent="0.35"/>
    <row r="337" s="42" customFormat="1" x14ac:dyDescent="0.35"/>
    <row r="338" s="42" customFormat="1" x14ac:dyDescent="0.35"/>
    <row r="339" s="42" customFormat="1" x14ac:dyDescent="0.35"/>
    <row r="340" s="42" customFormat="1" x14ac:dyDescent="0.35"/>
    <row r="341" s="42" customFormat="1" x14ac:dyDescent="0.35"/>
    <row r="342" s="42" customFormat="1" x14ac:dyDescent="0.35"/>
    <row r="343" s="42" customFormat="1" x14ac:dyDescent="0.35"/>
    <row r="344" s="42" customFormat="1" x14ac:dyDescent="0.35"/>
    <row r="345" s="42" customFormat="1" x14ac:dyDescent="0.35"/>
    <row r="346" s="42" customFormat="1" x14ac:dyDescent="0.35"/>
    <row r="347" s="42" customFormat="1" x14ac:dyDescent="0.35"/>
    <row r="348" s="42" customFormat="1" x14ac:dyDescent="0.35"/>
    <row r="349" s="42" customFormat="1" x14ac:dyDescent="0.35"/>
    <row r="350" s="42" customFormat="1" x14ac:dyDescent="0.35"/>
    <row r="351" s="42" customFormat="1" x14ac:dyDescent="0.35"/>
    <row r="352" s="42" customFormat="1" x14ac:dyDescent="0.35"/>
    <row r="353" s="42" customFormat="1" x14ac:dyDescent="0.35"/>
    <row r="354" s="42" customFormat="1" x14ac:dyDescent="0.35"/>
    <row r="355" s="42" customFormat="1" x14ac:dyDescent="0.35"/>
    <row r="356" s="42" customFormat="1" x14ac:dyDescent="0.35"/>
    <row r="357" s="42" customFormat="1" x14ac:dyDescent="0.35"/>
    <row r="358" s="42" customFormat="1" x14ac:dyDescent="0.35"/>
    <row r="359" s="42" customFormat="1" x14ac:dyDescent="0.35"/>
    <row r="360" s="42" customFormat="1" x14ac:dyDescent="0.35"/>
    <row r="361" s="42" customFormat="1" x14ac:dyDescent="0.35"/>
    <row r="362" s="42" customFormat="1" x14ac:dyDescent="0.35"/>
    <row r="363" s="42" customFormat="1" x14ac:dyDescent="0.35"/>
    <row r="364" s="42" customFormat="1" x14ac:dyDescent="0.35"/>
    <row r="365" s="42" customFormat="1" x14ac:dyDescent="0.35"/>
    <row r="366" s="42" customFormat="1" x14ac:dyDescent="0.35"/>
    <row r="367" s="42" customFormat="1" x14ac:dyDescent="0.35"/>
    <row r="368" s="42" customFormat="1" x14ac:dyDescent="0.35"/>
    <row r="369" s="42" customFormat="1" x14ac:dyDescent="0.35"/>
    <row r="370" s="42" customFormat="1" x14ac:dyDescent="0.35"/>
    <row r="371" s="42" customFormat="1" x14ac:dyDescent="0.35"/>
    <row r="372" s="42" customFormat="1" x14ac:dyDescent="0.35"/>
    <row r="373" s="42" customFormat="1" x14ac:dyDescent="0.35"/>
    <row r="374" s="42" customFormat="1" x14ac:dyDescent="0.35"/>
    <row r="375" s="42" customFormat="1" x14ac:dyDescent="0.35"/>
    <row r="376" s="42" customFormat="1" x14ac:dyDescent="0.35"/>
    <row r="377" s="42" customFormat="1" x14ac:dyDescent="0.35"/>
    <row r="378" s="42" customFormat="1" x14ac:dyDescent="0.35"/>
  </sheetData>
  <sheetProtection algorithmName="SHA-512" hashValue="x7YPmI3FwaSbWqh1TETFgW5hH/TTzDsx0qMN9pzcDmc7n4+QROoRwCwbLAabmnsJuyptm/qfCP4Z6Otyiug5bw==" saltValue="zdXrEq1l6D+TVqb5/N1M5Q==" spinCount="100000" sheet="1" objects="1" scenarios="1" selectLockedCells="1"/>
  <phoneticPr fontId="3" type="noConversion"/>
  <pageMargins left="0.25" right="0.25" top="0.75" bottom="0.75" header="0.3" footer="0.3"/>
  <pageSetup paperSize="9"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fitToPage="1"/>
  </sheetPr>
  <dimension ref="A1:AA210"/>
  <sheetViews>
    <sheetView showGridLines="0" showRowColHeaders="0" zoomScale="85" zoomScaleNormal="85" workbookViewId="0">
      <selection activeCell="Y127" sqref="Y127"/>
    </sheetView>
  </sheetViews>
  <sheetFormatPr defaultColWidth="8.86328125" defaultRowHeight="12.75" x14ac:dyDescent="0.35"/>
  <cols>
    <col min="1" max="1" width="1.73046875" style="289" customWidth="1"/>
    <col min="2" max="2" width="6.73046875" style="289" customWidth="1"/>
    <col min="3" max="16384" width="8.86328125" style="289"/>
  </cols>
  <sheetData>
    <row r="1" spans="1:27" ht="167.1" customHeight="1" x14ac:dyDescent="0.35">
      <c r="A1" s="341"/>
      <c r="B1" s="341"/>
      <c r="C1" s="341"/>
      <c r="D1" s="341"/>
      <c r="E1" s="341"/>
      <c r="F1" s="341"/>
      <c r="G1" s="341"/>
      <c r="H1" s="341"/>
      <c r="I1" s="341"/>
      <c r="J1" s="341"/>
      <c r="K1" s="341"/>
      <c r="L1" s="341"/>
      <c r="M1" s="341"/>
      <c r="N1" s="341"/>
      <c r="O1" s="341"/>
      <c r="P1" s="341"/>
      <c r="Q1" s="341"/>
      <c r="R1" s="341"/>
      <c r="S1" s="341"/>
      <c r="T1" s="341"/>
      <c r="U1" s="341"/>
      <c r="V1" s="341"/>
      <c r="W1" s="341"/>
    </row>
    <row r="2" spans="1:27" ht="39.950000000000003" customHeight="1" x14ac:dyDescent="0.35">
      <c r="A2" s="383"/>
      <c r="B2" s="414"/>
      <c r="C2" s="414"/>
      <c r="D2" s="414"/>
      <c r="E2" s="414"/>
      <c r="F2" s="414"/>
      <c r="G2" s="414"/>
      <c r="H2" s="414"/>
      <c r="I2" s="414"/>
      <c r="J2" s="414"/>
      <c r="K2" s="414"/>
      <c r="L2" s="414"/>
      <c r="M2" s="414"/>
      <c r="N2" s="414"/>
      <c r="O2" s="414"/>
      <c r="P2" s="414"/>
      <c r="Q2" s="414"/>
      <c r="R2" s="414"/>
      <c r="S2" s="414"/>
      <c r="T2" s="414"/>
      <c r="U2" s="414"/>
      <c r="V2" s="614" t="s">
        <v>361</v>
      </c>
      <c r="W2" s="614"/>
    </row>
    <row r="3" spans="1:27" x14ac:dyDescent="0.35">
      <c r="A3" s="341"/>
      <c r="B3" s="341"/>
      <c r="C3" s="340"/>
      <c r="D3" s="340"/>
      <c r="E3" s="340"/>
      <c r="F3" s="340"/>
      <c r="G3" s="340"/>
      <c r="H3" s="340"/>
      <c r="I3" s="340"/>
      <c r="J3" s="340"/>
      <c r="K3" s="340"/>
      <c r="L3" s="340"/>
      <c r="M3" s="340"/>
      <c r="N3" s="340"/>
      <c r="O3" s="340"/>
      <c r="P3" s="340"/>
      <c r="Q3" s="340"/>
      <c r="R3" s="340"/>
      <c r="S3" s="340"/>
      <c r="T3" s="340"/>
      <c r="U3" s="340"/>
      <c r="V3" s="340"/>
      <c r="W3" s="341"/>
    </row>
    <row r="4" spans="1:27" ht="17.649999999999999" x14ac:dyDescent="0.5">
      <c r="A4" s="409"/>
      <c r="B4" s="410">
        <v>1</v>
      </c>
      <c r="C4" s="426" t="str">
        <f>Help!D29</f>
        <v>Displaying the calculator forms</v>
      </c>
      <c r="D4" s="348"/>
      <c r="E4" s="348"/>
      <c r="F4" s="348"/>
      <c r="G4" s="348"/>
      <c r="H4" s="348"/>
      <c r="I4" s="348"/>
      <c r="J4" s="348"/>
      <c r="K4" s="348"/>
      <c r="L4" s="348"/>
      <c r="M4" s="340"/>
      <c r="N4" s="340"/>
      <c r="O4" s="340"/>
      <c r="P4" s="340"/>
      <c r="Q4" s="340"/>
      <c r="R4" s="340"/>
      <c r="S4" s="340"/>
      <c r="T4" s="340"/>
      <c r="U4" s="340"/>
      <c r="V4" s="340"/>
      <c r="W4" s="340"/>
      <c r="AA4" s="411"/>
    </row>
    <row r="5" spans="1:27" ht="17.25" x14ac:dyDescent="0.45">
      <c r="A5" s="409"/>
      <c r="B5" s="363"/>
      <c r="C5" s="363"/>
      <c r="D5" s="363"/>
      <c r="E5" s="363"/>
      <c r="F5" s="363"/>
      <c r="G5" s="363"/>
      <c r="H5" s="363"/>
      <c r="I5" s="363"/>
      <c r="J5" s="363"/>
      <c r="K5" s="363"/>
      <c r="L5" s="363"/>
      <c r="M5" s="341"/>
      <c r="N5" s="341"/>
      <c r="O5" s="341"/>
      <c r="P5" s="341"/>
      <c r="Q5" s="341"/>
      <c r="R5" s="341"/>
      <c r="S5" s="341"/>
      <c r="T5" s="341"/>
      <c r="U5" s="341"/>
      <c r="V5" s="341"/>
      <c r="W5" s="341"/>
      <c r="X5" s="341"/>
    </row>
    <row r="6" spans="1:27" x14ac:dyDescent="0.35">
      <c r="A6" s="409"/>
      <c r="B6" s="341"/>
      <c r="C6" s="341"/>
      <c r="D6" s="341"/>
      <c r="E6" s="341"/>
      <c r="F6" s="341"/>
      <c r="G6" s="341"/>
      <c r="H6" s="341"/>
      <c r="I6" s="341"/>
      <c r="J6" s="341"/>
      <c r="K6" s="341"/>
      <c r="L6" s="341"/>
      <c r="M6" s="341"/>
      <c r="N6" s="341"/>
      <c r="O6" s="341"/>
      <c r="P6" s="341"/>
      <c r="Q6" s="341"/>
      <c r="R6" s="341"/>
      <c r="S6" s="341"/>
      <c r="T6" s="341"/>
      <c r="U6" s="341"/>
      <c r="V6" s="341"/>
      <c r="W6" s="341"/>
      <c r="X6" s="341"/>
    </row>
    <row r="7" spans="1:27" ht="12" customHeight="1" x14ac:dyDescent="0.35">
      <c r="A7" s="409"/>
      <c r="B7" s="341"/>
      <c r="C7" s="341"/>
      <c r="D7" s="341"/>
      <c r="E7" s="341"/>
      <c r="F7" s="341"/>
      <c r="G7" s="341"/>
      <c r="H7" s="341"/>
      <c r="I7" s="341"/>
      <c r="J7" s="341"/>
      <c r="K7" s="341"/>
      <c r="L7" s="341"/>
      <c r="M7" s="341"/>
      <c r="N7" s="341"/>
      <c r="O7" s="341"/>
      <c r="P7" s="341"/>
      <c r="Q7" s="341"/>
      <c r="R7" s="341"/>
      <c r="S7" s="341"/>
      <c r="T7" s="341"/>
      <c r="U7" s="341"/>
      <c r="V7" s="341"/>
      <c r="W7" s="341"/>
      <c r="X7" s="341"/>
    </row>
    <row r="8" spans="1:27" ht="7.5" hidden="1" customHeight="1" x14ac:dyDescent="0.35">
      <c r="A8" s="409"/>
      <c r="B8" s="341"/>
      <c r="C8" s="341"/>
      <c r="D8" s="341"/>
      <c r="E8" s="341"/>
      <c r="F8" s="341"/>
      <c r="G8" s="341"/>
      <c r="H8" s="341"/>
      <c r="I8" s="341"/>
      <c r="J8" s="341"/>
      <c r="K8" s="341"/>
      <c r="L8" s="341"/>
      <c r="M8" s="341"/>
      <c r="N8" s="341"/>
      <c r="O8" s="341"/>
      <c r="P8" s="341"/>
      <c r="Q8" s="341"/>
      <c r="R8" s="341"/>
      <c r="S8" s="341"/>
      <c r="T8" s="341"/>
      <c r="U8" s="341"/>
      <c r="V8" s="341"/>
      <c r="W8" s="341"/>
      <c r="X8" s="341"/>
    </row>
    <row r="9" spans="1:27" hidden="1" x14ac:dyDescent="0.35">
      <c r="A9" s="409"/>
      <c r="B9" s="341"/>
      <c r="C9" s="341"/>
      <c r="D9" s="341"/>
      <c r="E9" s="341"/>
      <c r="F9" s="341"/>
      <c r="G9" s="341"/>
      <c r="H9" s="341"/>
      <c r="I9" s="341"/>
      <c r="J9" s="341"/>
      <c r="K9" s="341"/>
      <c r="L9" s="341"/>
      <c r="M9" s="341"/>
      <c r="N9" s="341"/>
      <c r="O9" s="341"/>
      <c r="P9" s="341"/>
      <c r="Q9" s="341"/>
      <c r="R9" s="341"/>
      <c r="S9" s="341"/>
      <c r="T9" s="341"/>
      <c r="U9" s="341"/>
      <c r="V9" s="341"/>
      <c r="W9" s="341"/>
      <c r="X9" s="341"/>
    </row>
    <row r="10" spans="1:27" hidden="1" x14ac:dyDescent="0.35">
      <c r="A10" s="409"/>
      <c r="B10" s="341"/>
      <c r="C10" s="341"/>
      <c r="D10" s="341"/>
      <c r="E10" s="341"/>
      <c r="F10" s="341"/>
      <c r="G10" s="341"/>
      <c r="H10" s="341"/>
      <c r="I10" s="341"/>
      <c r="J10" s="341"/>
      <c r="K10" s="341"/>
      <c r="L10" s="341"/>
      <c r="M10" s="341"/>
      <c r="N10" s="341"/>
      <c r="O10" s="341"/>
      <c r="P10" s="341"/>
      <c r="Q10" s="341"/>
      <c r="R10" s="341"/>
      <c r="S10" s="341"/>
      <c r="T10" s="341"/>
      <c r="U10" s="341"/>
      <c r="V10" s="341"/>
      <c r="W10" s="341"/>
      <c r="X10" s="341"/>
    </row>
    <row r="11" spans="1:27" x14ac:dyDescent="0.35">
      <c r="A11" s="409"/>
      <c r="B11" s="341"/>
      <c r="C11" s="341"/>
      <c r="D11" s="341"/>
      <c r="E11" s="341"/>
      <c r="F11" s="341"/>
      <c r="G11" s="341"/>
      <c r="H11" s="341"/>
      <c r="I11" s="341"/>
      <c r="J11" s="341"/>
      <c r="K11" s="341"/>
      <c r="L11" s="341"/>
      <c r="M11" s="341"/>
      <c r="N11" s="341"/>
      <c r="O11" s="341"/>
      <c r="P11" s="341"/>
      <c r="Q11" s="341"/>
      <c r="R11" s="341"/>
      <c r="S11" s="341"/>
      <c r="T11" s="341"/>
      <c r="U11" s="341"/>
      <c r="V11" s="341"/>
      <c r="W11" s="341"/>
      <c r="X11" s="341"/>
    </row>
    <row r="12" spans="1:27" x14ac:dyDescent="0.35">
      <c r="A12" s="409"/>
      <c r="B12" s="341"/>
      <c r="C12" s="341"/>
      <c r="D12" s="341"/>
      <c r="E12" s="341"/>
      <c r="F12" s="341"/>
      <c r="G12" s="341"/>
      <c r="H12" s="341"/>
      <c r="I12" s="341"/>
      <c r="J12" s="341"/>
      <c r="K12" s="341"/>
      <c r="L12" s="341"/>
      <c r="M12" s="341"/>
      <c r="N12" s="341"/>
      <c r="O12" s="341"/>
      <c r="P12" s="341"/>
      <c r="Q12" s="341"/>
      <c r="R12" s="341"/>
      <c r="S12" s="341"/>
      <c r="T12" s="341"/>
      <c r="U12" s="341"/>
      <c r="V12" s="341"/>
      <c r="W12" s="341"/>
      <c r="X12" s="341"/>
    </row>
    <row r="13" spans="1:27" x14ac:dyDescent="0.35">
      <c r="A13" s="409"/>
      <c r="B13" s="341"/>
      <c r="C13" s="341"/>
      <c r="D13" s="341"/>
      <c r="E13" s="341"/>
      <c r="F13" s="341"/>
      <c r="G13" s="341"/>
      <c r="H13" s="341"/>
      <c r="I13" s="341"/>
      <c r="J13" s="341"/>
      <c r="K13" s="341"/>
      <c r="L13" s="341"/>
      <c r="M13" s="341"/>
      <c r="N13" s="341"/>
      <c r="O13" s="341"/>
      <c r="P13" s="341"/>
      <c r="Q13" s="341"/>
      <c r="R13" s="341"/>
      <c r="S13" s="341"/>
      <c r="T13" s="341"/>
      <c r="U13" s="341"/>
      <c r="V13" s="341"/>
      <c r="W13" s="341"/>
      <c r="X13" s="341"/>
    </row>
    <row r="14" spans="1:27" x14ac:dyDescent="0.35">
      <c r="A14" s="409"/>
      <c r="B14" s="341"/>
      <c r="C14" s="341"/>
      <c r="D14" s="341"/>
      <c r="E14" s="341"/>
      <c r="F14" s="341"/>
      <c r="G14" s="341"/>
      <c r="H14" s="341"/>
      <c r="I14" s="341"/>
      <c r="J14" s="341"/>
      <c r="K14" s="341"/>
      <c r="L14" s="341"/>
      <c r="M14" s="341"/>
      <c r="N14" s="341"/>
      <c r="O14" s="341"/>
      <c r="P14" s="341"/>
      <c r="Q14" s="341"/>
      <c r="R14" s="341"/>
      <c r="S14" s="341"/>
      <c r="T14" s="341"/>
      <c r="U14" s="341"/>
      <c r="V14" s="341"/>
      <c r="W14" s="341"/>
      <c r="X14" s="341"/>
    </row>
    <row r="15" spans="1:27" x14ac:dyDescent="0.35">
      <c r="A15" s="409"/>
      <c r="B15" s="341"/>
      <c r="C15" s="341"/>
      <c r="D15" s="341"/>
      <c r="E15" s="341"/>
      <c r="F15" s="341"/>
      <c r="G15" s="341"/>
      <c r="H15" s="341"/>
      <c r="I15" s="341"/>
      <c r="J15" s="341"/>
      <c r="K15" s="341"/>
      <c r="L15" s="341"/>
      <c r="M15" s="341"/>
      <c r="N15" s="341"/>
      <c r="O15" s="341"/>
      <c r="P15" s="341"/>
      <c r="Q15" s="341"/>
      <c r="R15" s="341"/>
      <c r="S15" s="341"/>
      <c r="T15" s="341"/>
      <c r="U15" s="341"/>
      <c r="V15" s="341"/>
      <c r="W15" s="341"/>
      <c r="X15" s="341"/>
    </row>
    <row r="16" spans="1:27" x14ac:dyDescent="0.35">
      <c r="A16" s="409"/>
      <c r="B16" s="341"/>
      <c r="C16" s="341"/>
      <c r="D16" s="341"/>
      <c r="E16" s="341"/>
      <c r="F16" s="341"/>
      <c r="G16" s="341"/>
      <c r="H16" s="341"/>
      <c r="I16" s="341"/>
      <c r="J16" s="341"/>
      <c r="K16" s="341"/>
      <c r="L16" s="341"/>
      <c r="M16" s="341"/>
      <c r="N16" s="341"/>
      <c r="O16" s="341"/>
      <c r="P16" s="341"/>
      <c r="Q16" s="341"/>
      <c r="R16" s="341"/>
      <c r="S16" s="341"/>
      <c r="T16" s="341"/>
      <c r="U16" s="341"/>
      <c r="V16" s="341"/>
      <c r="W16" s="341"/>
      <c r="X16" s="341"/>
    </row>
    <row r="17" spans="1:24" x14ac:dyDescent="0.35">
      <c r="A17" s="409"/>
      <c r="B17" s="341"/>
      <c r="C17" s="341"/>
      <c r="D17" s="341"/>
      <c r="E17" s="341"/>
      <c r="F17" s="341"/>
      <c r="G17" s="341"/>
      <c r="H17" s="341"/>
      <c r="I17" s="341"/>
      <c r="J17" s="341"/>
      <c r="K17" s="341"/>
      <c r="L17" s="341"/>
      <c r="M17" s="341"/>
      <c r="N17" s="341"/>
      <c r="O17" s="341"/>
      <c r="P17" s="341"/>
      <c r="Q17" s="341"/>
      <c r="R17" s="341"/>
      <c r="S17" s="341"/>
      <c r="T17" s="341"/>
      <c r="U17" s="341"/>
      <c r="V17" s="341"/>
      <c r="W17" s="341"/>
      <c r="X17" s="341"/>
    </row>
    <row r="18" spans="1:24" x14ac:dyDescent="0.35">
      <c r="A18" s="409"/>
      <c r="B18" s="341"/>
      <c r="C18" s="341"/>
      <c r="D18" s="341"/>
      <c r="E18" s="341"/>
      <c r="F18" s="341"/>
      <c r="G18" s="341"/>
      <c r="H18" s="341"/>
      <c r="I18" s="341"/>
      <c r="J18" s="341"/>
      <c r="K18" s="341"/>
      <c r="L18" s="341"/>
      <c r="M18" s="341"/>
      <c r="N18" s="341"/>
      <c r="O18" s="341"/>
      <c r="P18" s="341"/>
      <c r="Q18" s="341"/>
      <c r="R18" s="341"/>
      <c r="S18" s="341"/>
      <c r="T18" s="341"/>
      <c r="U18" s="341"/>
      <c r="V18" s="341"/>
      <c r="W18" s="341"/>
      <c r="X18" s="341"/>
    </row>
    <row r="19" spans="1:24" x14ac:dyDescent="0.35">
      <c r="A19" s="409"/>
      <c r="B19" s="341"/>
      <c r="C19" s="341"/>
      <c r="D19" s="341"/>
      <c r="E19" s="341"/>
      <c r="F19" s="341"/>
      <c r="G19" s="341"/>
      <c r="H19" s="341"/>
      <c r="I19" s="341"/>
      <c r="J19" s="341"/>
      <c r="K19" s="341"/>
      <c r="L19" s="341"/>
      <c r="M19" s="341"/>
      <c r="N19" s="341"/>
      <c r="O19" s="341"/>
      <c r="P19" s="341"/>
      <c r="Q19" s="341"/>
      <c r="R19" s="341"/>
      <c r="S19" s="341"/>
      <c r="T19" s="341"/>
      <c r="U19" s="341"/>
      <c r="V19" s="341"/>
      <c r="W19" s="341"/>
      <c r="X19" s="341"/>
    </row>
    <row r="20" spans="1:24" x14ac:dyDescent="0.35">
      <c r="A20" s="409"/>
      <c r="B20" s="341"/>
      <c r="C20" s="341"/>
      <c r="D20" s="341"/>
      <c r="E20" s="341"/>
      <c r="F20" s="341"/>
      <c r="G20" s="341"/>
      <c r="H20" s="341"/>
      <c r="I20" s="341"/>
      <c r="J20" s="341"/>
      <c r="K20" s="341"/>
      <c r="L20" s="341"/>
      <c r="M20" s="341"/>
      <c r="N20" s="341"/>
      <c r="O20" s="341"/>
      <c r="P20" s="341"/>
      <c r="Q20" s="341"/>
      <c r="R20" s="341"/>
      <c r="S20" s="341"/>
      <c r="T20" s="341"/>
      <c r="U20" s="341"/>
      <c r="V20" s="341"/>
      <c r="W20" s="341"/>
      <c r="X20" s="341"/>
    </row>
    <row r="21" spans="1:24" x14ac:dyDescent="0.35">
      <c r="A21" s="409"/>
      <c r="B21" s="341"/>
      <c r="C21" s="341"/>
      <c r="D21" s="341"/>
      <c r="E21" s="341"/>
      <c r="F21" s="341"/>
      <c r="G21" s="341"/>
      <c r="H21" s="341"/>
      <c r="I21" s="341"/>
      <c r="J21" s="341"/>
      <c r="K21" s="341"/>
      <c r="L21" s="341"/>
      <c r="M21" s="341"/>
      <c r="N21" s="341"/>
      <c r="O21" s="341"/>
      <c r="P21" s="341"/>
      <c r="Q21" s="341"/>
      <c r="R21" s="341"/>
      <c r="S21" s="341"/>
      <c r="T21" s="341"/>
      <c r="U21" s="341"/>
      <c r="V21" s="341"/>
      <c r="W21" s="341"/>
      <c r="X21" s="341"/>
    </row>
    <row r="22" spans="1:24" x14ac:dyDescent="0.35">
      <c r="A22" s="409"/>
      <c r="B22" s="341"/>
      <c r="C22" s="341"/>
      <c r="D22" s="341"/>
      <c r="E22" s="341"/>
      <c r="F22" s="341"/>
      <c r="G22" s="341"/>
      <c r="H22" s="341"/>
      <c r="I22" s="341"/>
      <c r="J22" s="341"/>
      <c r="K22" s="341"/>
      <c r="L22" s="341"/>
      <c r="M22" s="341"/>
      <c r="N22" s="341"/>
      <c r="O22" s="341"/>
      <c r="P22" s="341"/>
      <c r="Q22" s="341"/>
      <c r="R22" s="341"/>
      <c r="S22" s="341"/>
      <c r="T22" s="341"/>
      <c r="U22" s="341"/>
      <c r="V22" s="341"/>
      <c r="W22" s="341"/>
      <c r="X22" s="341"/>
    </row>
    <row r="23" spans="1:24" x14ac:dyDescent="0.35">
      <c r="A23" s="409"/>
      <c r="B23" s="341"/>
      <c r="C23" s="341"/>
      <c r="D23" s="341"/>
      <c r="E23" s="341"/>
      <c r="F23" s="341"/>
      <c r="G23" s="341"/>
      <c r="H23" s="341"/>
      <c r="I23" s="341"/>
      <c r="J23" s="341"/>
      <c r="K23" s="341"/>
      <c r="L23" s="341"/>
      <c r="M23" s="341"/>
      <c r="N23" s="341"/>
      <c r="O23" s="341"/>
      <c r="P23" s="341"/>
      <c r="Q23" s="341"/>
      <c r="R23" s="341"/>
      <c r="S23" s="341"/>
      <c r="T23" s="341"/>
      <c r="U23" s="341"/>
      <c r="V23" s="341"/>
      <c r="W23" s="341"/>
      <c r="X23" s="341"/>
    </row>
    <row r="24" spans="1:24" x14ac:dyDescent="0.35">
      <c r="A24" s="409"/>
      <c r="B24" s="341"/>
      <c r="C24" s="341"/>
      <c r="D24" s="341"/>
      <c r="E24" s="341"/>
      <c r="F24" s="341"/>
      <c r="G24" s="341"/>
      <c r="H24" s="341"/>
      <c r="I24" s="341"/>
      <c r="J24" s="341"/>
      <c r="K24" s="341"/>
      <c r="L24" s="341"/>
      <c r="M24" s="341"/>
      <c r="N24" s="341"/>
      <c r="O24" s="341"/>
      <c r="P24" s="341"/>
      <c r="Q24" s="341"/>
      <c r="R24" s="341"/>
      <c r="S24" s="341"/>
      <c r="T24" s="341"/>
      <c r="U24" s="341"/>
      <c r="V24" s="341"/>
      <c r="W24" s="341"/>
      <c r="X24" s="341"/>
    </row>
    <row r="25" spans="1:24" x14ac:dyDescent="0.35">
      <c r="A25" s="409"/>
      <c r="B25" s="341"/>
      <c r="C25" s="341"/>
      <c r="D25" s="341"/>
      <c r="E25" s="341"/>
      <c r="F25" s="341"/>
      <c r="G25" s="341"/>
      <c r="H25" s="341"/>
      <c r="I25" s="341"/>
      <c r="J25" s="341"/>
      <c r="K25" s="341"/>
      <c r="L25" s="341"/>
      <c r="M25" s="341"/>
      <c r="N25" s="341"/>
      <c r="O25" s="341"/>
      <c r="P25" s="341"/>
      <c r="Q25" s="341"/>
      <c r="R25" s="341"/>
      <c r="S25" s="341"/>
      <c r="T25" s="341"/>
      <c r="U25" s="341"/>
      <c r="V25" s="341"/>
      <c r="W25" s="341"/>
      <c r="X25" s="341"/>
    </row>
    <row r="26" spans="1:24" x14ac:dyDescent="0.35">
      <c r="A26" s="409"/>
      <c r="B26" s="341"/>
      <c r="C26" s="341"/>
      <c r="D26" s="341"/>
      <c r="E26" s="341"/>
      <c r="F26" s="341"/>
      <c r="G26" s="341"/>
      <c r="H26" s="341"/>
      <c r="I26" s="341"/>
      <c r="J26" s="341"/>
      <c r="K26" s="341"/>
      <c r="L26" s="341"/>
      <c r="M26" s="341"/>
      <c r="N26" s="341"/>
      <c r="O26" s="341"/>
      <c r="P26" s="341"/>
      <c r="Q26" s="341"/>
      <c r="R26" s="341"/>
      <c r="S26" s="341"/>
      <c r="T26" s="341"/>
      <c r="U26" s="341"/>
      <c r="V26" s="341"/>
      <c r="W26" s="341"/>
      <c r="X26" s="341"/>
    </row>
    <row r="27" spans="1:24" x14ac:dyDescent="0.35">
      <c r="A27" s="409"/>
      <c r="B27" s="341"/>
      <c r="C27" s="341"/>
      <c r="D27" s="341"/>
      <c r="E27" s="341"/>
      <c r="F27" s="341"/>
      <c r="G27" s="341"/>
      <c r="H27" s="341"/>
      <c r="I27" s="341"/>
      <c r="J27" s="341"/>
      <c r="K27" s="341"/>
      <c r="L27" s="341"/>
      <c r="M27" s="341"/>
      <c r="N27" s="341"/>
      <c r="O27" s="341"/>
      <c r="P27" s="341"/>
      <c r="Q27" s="341"/>
      <c r="R27" s="341"/>
      <c r="S27" s="341"/>
      <c r="T27" s="341"/>
      <c r="U27" s="341"/>
      <c r="V27" s="341"/>
      <c r="W27" s="341"/>
      <c r="X27" s="341"/>
    </row>
    <row r="28" spans="1:24" x14ac:dyDescent="0.35">
      <c r="A28" s="409"/>
      <c r="B28" s="341"/>
      <c r="C28" s="341"/>
      <c r="D28" s="341"/>
      <c r="E28" s="341"/>
      <c r="F28" s="341"/>
      <c r="G28" s="341"/>
      <c r="H28" s="341"/>
      <c r="I28" s="341"/>
      <c r="J28" s="341"/>
      <c r="K28" s="341"/>
      <c r="L28" s="341"/>
      <c r="M28" s="341"/>
      <c r="N28" s="341"/>
      <c r="O28" s="341"/>
      <c r="P28" s="341"/>
      <c r="Q28" s="341"/>
      <c r="R28" s="341"/>
      <c r="S28" s="341"/>
      <c r="T28" s="341"/>
      <c r="U28" s="341"/>
      <c r="V28" s="341"/>
      <c r="W28" s="341"/>
      <c r="X28" s="341"/>
    </row>
    <row r="29" spans="1:24" x14ac:dyDescent="0.35">
      <c r="A29" s="409"/>
      <c r="B29" s="341"/>
      <c r="C29" s="341"/>
      <c r="D29" s="341"/>
      <c r="E29" s="341"/>
      <c r="F29" s="341"/>
      <c r="G29" s="341"/>
      <c r="H29" s="341"/>
      <c r="I29" s="341"/>
      <c r="J29" s="341"/>
      <c r="K29" s="341"/>
      <c r="L29" s="341"/>
      <c r="M29" s="341"/>
      <c r="N29" s="341"/>
      <c r="O29" s="341"/>
      <c r="P29" s="341"/>
      <c r="Q29" s="341"/>
      <c r="R29" s="341"/>
      <c r="S29" s="341"/>
      <c r="T29" s="341"/>
      <c r="U29" s="341"/>
      <c r="V29" s="341"/>
      <c r="W29" s="341"/>
      <c r="X29" s="341"/>
    </row>
    <row r="30" spans="1:24" x14ac:dyDescent="0.35">
      <c r="A30" s="409"/>
      <c r="B30" s="341"/>
      <c r="C30" s="341"/>
      <c r="D30" s="341"/>
      <c r="E30" s="341"/>
      <c r="F30" s="341"/>
      <c r="G30" s="341"/>
      <c r="H30" s="341"/>
      <c r="I30" s="341"/>
      <c r="J30" s="341"/>
      <c r="K30" s="341"/>
      <c r="L30" s="341"/>
      <c r="M30" s="341"/>
      <c r="N30" s="341"/>
      <c r="O30" s="341"/>
      <c r="P30" s="341"/>
      <c r="Q30" s="341"/>
      <c r="R30" s="341"/>
      <c r="S30" s="341"/>
      <c r="T30" s="341"/>
      <c r="U30" s="341"/>
      <c r="V30" s="341"/>
      <c r="W30" s="341"/>
      <c r="X30" s="341"/>
    </row>
    <row r="31" spans="1:24" x14ac:dyDescent="0.35">
      <c r="A31" s="409"/>
      <c r="B31" s="341"/>
      <c r="C31" s="341"/>
      <c r="D31" s="341"/>
      <c r="E31" s="341"/>
      <c r="F31" s="341"/>
      <c r="G31" s="341"/>
      <c r="H31" s="341"/>
      <c r="I31" s="341"/>
      <c r="J31" s="341"/>
      <c r="K31" s="341"/>
      <c r="L31" s="341"/>
      <c r="M31" s="341"/>
      <c r="N31" s="341"/>
      <c r="O31" s="341"/>
      <c r="P31" s="341"/>
      <c r="Q31" s="341"/>
      <c r="R31" s="341"/>
      <c r="S31" s="341"/>
      <c r="T31" s="341"/>
      <c r="U31" s="341"/>
      <c r="V31" s="341"/>
      <c r="W31" s="341"/>
      <c r="X31" s="341"/>
    </row>
    <row r="32" spans="1:24" x14ac:dyDescent="0.35">
      <c r="A32" s="409"/>
      <c r="B32" s="341"/>
      <c r="C32" s="341"/>
      <c r="D32" s="341"/>
      <c r="E32" s="341"/>
      <c r="F32" s="341"/>
      <c r="G32" s="341"/>
      <c r="H32" s="341"/>
      <c r="I32" s="341"/>
      <c r="J32" s="341"/>
      <c r="K32" s="341"/>
      <c r="L32" s="341"/>
      <c r="M32" s="341"/>
      <c r="N32" s="341"/>
      <c r="O32" s="341"/>
      <c r="P32" s="341"/>
      <c r="Q32" s="341"/>
      <c r="R32" s="341"/>
      <c r="S32" s="341"/>
      <c r="T32" s="341"/>
      <c r="U32" s="341"/>
      <c r="V32" s="341"/>
      <c r="W32" s="341"/>
      <c r="X32" s="341"/>
    </row>
    <row r="33" spans="1:24" x14ac:dyDescent="0.35">
      <c r="A33" s="409"/>
      <c r="B33" s="341"/>
      <c r="C33" s="341"/>
      <c r="D33" s="341"/>
      <c r="E33" s="341"/>
      <c r="F33" s="341"/>
      <c r="G33" s="341"/>
      <c r="H33" s="341"/>
      <c r="I33" s="341"/>
      <c r="J33" s="341"/>
      <c r="K33" s="341"/>
      <c r="L33" s="341"/>
      <c r="M33" s="341"/>
      <c r="N33" s="341"/>
      <c r="O33" s="341"/>
      <c r="P33" s="341"/>
      <c r="Q33" s="341"/>
      <c r="R33" s="341"/>
      <c r="S33" s="341"/>
      <c r="T33" s="341"/>
      <c r="U33" s="341"/>
      <c r="V33" s="341"/>
      <c r="W33" s="341"/>
      <c r="X33" s="341"/>
    </row>
    <row r="34" spans="1:24" x14ac:dyDescent="0.35">
      <c r="A34" s="409"/>
      <c r="B34" s="341"/>
      <c r="C34" s="341"/>
      <c r="D34" s="341"/>
      <c r="E34" s="341"/>
      <c r="F34" s="341"/>
      <c r="G34" s="341"/>
      <c r="H34" s="341"/>
      <c r="I34" s="341"/>
      <c r="J34" s="341"/>
      <c r="K34" s="341"/>
      <c r="L34" s="341"/>
      <c r="M34" s="341"/>
      <c r="N34" s="341"/>
      <c r="O34" s="341"/>
      <c r="P34" s="341"/>
      <c r="Q34" s="341"/>
      <c r="R34" s="341"/>
      <c r="S34" s="341"/>
      <c r="T34" s="341"/>
      <c r="U34" s="341"/>
      <c r="V34" s="341"/>
      <c r="W34" s="341"/>
      <c r="X34" s="341"/>
    </row>
    <row r="35" spans="1:24" x14ac:dyDescent="0.35">
      <c r="A35" s="409"/>
      <c r="B35" s="341"/>
      <c r="C35" s="341"/>
      <c r="D35" s="341"/>
      <c r="E35" s="341"/>
      <c r="F35" s="341"/>
      <c r="G35" s="341"/>
      <c r="H35" s="341"/>
      <c r="I35" s="341"/>
      <c r="J35" s="341"/>
      <c r="K35" s="341"/>
      <c r="L35" s="341"/>
      <c r="M35" s="341"/>
      <c r="N35" s="341"/>
      <c r="O35" s="341"/>
      <c r="P35" s="341"/>
      <c r="Q35" s="341"/>
      <c r="R35" s="341"/>
      <c r="S35" s="341"/>
      <c r="T35" s="341"/>
      <c r="U35" s="341"/>
      <c r="V35" s="341"/>
      <c r="W35" s="341"/>
      <c r="X35" s="341"/>
    </row>
    <row r="36" spans="1:24" x14ac:dyDescent="0.35">
      <c r="A36" s="409"/>
      <c r="B36" s="341"/>
      <c r="C36" s="341"/>
      <c r="D36" s="341"/>
      <c r="E36" s="341"/>
      <c r="F36" s="341"/>
      <c r="G36" s="341"/>
      <c r="H36" s="341"/>
      <c r="I36" s="341"/>
      <c r="J36" s="341"/>
      <c r="K36" s="341"/>
      <c r="L36" s="341"/>
      <c r="M36" s="341"/>
      <c r="N36" s="341"/>
      <c r="O36" s="341"/>
      <c r="P36" s="341"/>
      <c r="Q36" s="341"/>
      <c r="R36" s="341"/>
      <c r="S36" s="341"/>
      <c r="T36" s="341"/>
      <c r="U36" s="341"/>
      <c r="V36" s="341"/>
      <c r="W36" s="341"/>
      <c r="X36" s="341"/>
    </row>
    <row r="37" spans="1:24" x14ac:dyDescent="0.35">
      <c r="A37" s="409"/>
      <c r="B37" s="341"/>
      <c r="C37" s="341"/>
      <c r="D37" s="341"/>
      <c r="E37" s="341"/>
      <c r="F37" s="341"/>
      <c r="G37" s="341"/>
      <c r="H37" s="341"/>
      <c r="I37" s="341"/>
      <c r="J37" s="341"/>
      <c r="K37" s="341"/>
      <c r="L37" s="341"/>
      <c r="M37" s="341"/>
      <c r="N37" s="341"/>
      <c r="O37" s="341"/>
      <c r="P37" s="341"/>
      <c r="Q37" s="341"/>
      <c r="R37" s="341"/>
      <c r="S37" s="341"/>
      <c r="T37" s="341"/>
      <c r="U37" s="341"/>
      <c r="V37" s="341"/>
      <c r="W37" s="341"/>
      <c r="X37" s="341"/>
    </row>
    <row r="38" spans="1:24" x14ac:dyDescent="0.35">
      <c r="A38" s="409"/>
      <c r="B38" s="341"/>
      <c r="C38" s="341"/>
      <c r="D38" s="341"/>
      <c r="E38" s="341"/>
      <c r="F38" s="341"/>
      <c r="G38" s="341"/>
      <c r="H38" s="341"/>
      <c r="I38" s="341"/>
      <c r="J38" s="341"/>
      <c r="K38" s="341"/>
      <c r="L38" s="341"/>
      <c r="M38" s="341"/>
      <c r="N38" s="341"/>
      <c r="O38" s="341"/>
      <c r="P38" s="341"/>
      <c r="Q38" s="341"/>
      <c r="R38" s="341"/>
      <c r="S38" s="341"/>
      <c r="T38" s="341"/>
      <c r="U38" s="341"/>
      <c r="V38" s="341"/>
      <c r="W38" s="341"/>
      <c r="X38" s="341"/>
    </row>
    <row r="39" spans="1:24" x14ac:dyDescent="0.35">
      <c r="A39" s="409"/>
      <c r="B39" s="341"/>
      <c r="C39" s="341"/>
      <c r="D39" s="341"/>
      <c r="E39" s="341"/>
      <c r="F39" s="341"/>
      <c r="G39" s="341"/>
      <c r="H39" s="341"/>
      <c r="I39" s="341"/>
      <c r="J39" s="341"/>
      <c r="K39" s="341"/>
      <c r="L39" s="341"/>
      <c r="M39" s="341"/>
      <c r="N39" s="341"/>
      <c r="O39" s="341"/>
      <c r="P39" s="341"/>
      <c r="Q39" s="341"/>
      <c r="R39" s="341"/>
      <c r="S39" s="341"/>
      <c r="T39" s="341"/>
      <c r="U39" s="341"/>
      <c r="V39" s="341"/>
      <c r="W39" s="341"/>
      <c r="X39" s="341"/>
    </row>
    <row r="40" spans="1:24" x14ac:dyDescent="0.35">
      <c r="A40" s="409"/>
      <c r="B40" s="341"/>
      <c r="C40" s="341"/>
      <c r="D40" s="341"/>
      <c r="E40" s="341"/>
      <c r="F40" s="341"/>
      <c r="G40" s="341"/>
      <c r="H40" s="341"/>
      <c r="I40" s="341"/>
      <c r="J40" s="341"/>
      <c r="K40" s="341"/>
      <c r="L40" s="341"/>
      <c r="M40" s="341"/>
      <c r="N40" s="341"/>
      <c r="O40" s="341"/>
      <c r="P40" s="341"/>
      <c r="Q40" s="341"/>
      <c r="R40" s="341"/>
      <c r="S40" s="341"/>
      <c r="T40" s="341"/>
      <c r="U40" s="341"/>
      <c r="V40" s="341"/>
      <c r="W40" s="341"/>
      <c r="X40" s="341"/>
    </row>
    <row r="41" spans="1:24" x14ac:dyDescent="0.35">
      <c r="A41" s="409"/>
      <c r="B41" s="341"/>
      <c r="C41" s="341"/>
      <c r="D41" s="341"/>
      <c r="E41" s="341"/>
      <c r="F41" s="341"/>
      <c r="G41" s="341"/>
      <c r="H41" s="341"/>
      <c r="I41" s="341"/>
      <c r="J41" s="341"/>
      <c r="K41" s="341"/>
      <c r="L41" s="341"/>
      <c r="M41" s="341"/>
      <c r="N41" s="341"/>
      <c r="O41" s="341"/>
      <c r="P41" s="341"/>
      <c r="Q41" s="341"/>
      <c r="R41" s="341"/>
      <c r="S41" s="341"/>
      <c r="T41" s="341"/>
      <c r="U41" s="341"/>
      <c r="V41" s="341"/>
      <c r="W41" s="341"/>
      <c r="X41" s="341"/>
    </row>
    <row r="42" spans="1:24" x14ac:dyDescent="0.35">
      <c r="A42" s="409"/>
      <c r="B42" s="341"/>
      <c r="C42" s="341"/>
      <c r="D42" s="341"/>
      <c r="E42" s="341"/>
      <c r="F42" s="341"/>
      <c r="G42" s="341"/>
      <c r="H42" s="341"/>
      <c r="I42" s="341"/>
      <c r="J42" s="341"/>
      <c r="K42" s="341"/>
      <c r="L42" s="341"/>
      <c r="M42" s="341"/>
      <c r="N42" s="341"/>
      <c r="O42" s="341"/>
      <c r="P42" s="341"/>
      <c r="Q42" s="341"/>
      <c r="R42" s="341"/>
      <c r="S42" s="341"/>
      <c r="T42" s="341"/>
      <c r="U42" s="341"/>
      <c r="V42" s="341"/>
      <c r="W42" s="341"/>
      <c r="X42" s="341"/>
    </row>
    <row r="43" spans="1:24" x14ac:dyDescent="0.35">
      <c r="A43" s="409"/>
      <c r="B43" s="341"/>
      <c r="C43" s="341"/>
      <c r="D43" s="341"/>
      <c r="E43" s="341"/>
      <c r="F43" s="341"/>
      <c r="G43" s="341"/>
      <c r="H43" s="341"/>
      <c r="I43" s="341"/>
      <c r="J43" s="341"/>
      <c r="K43" s="341"/>
      <c r="L43" s="341"/>
      <c r="M43" s="341"/>
      <c r="N43" s="341"/>
      <c r="O43" s="341"/>
      <c r="P43" s="341"/>
      <c r="Q43" s="341"/>
      <c r="R43" s="341"/>
      <c r="S43" s="341"/>
      <c r="T43" s="341"/>
      <c r="U43" s="341"/>
      <c r="V43" s="341"/>
      <c r="W43" s="341"/>
      <c r="X43" s="341"/>
    </row>
    <row r="44" spans="1:24" x14ac:dyDescent="0.35">
      <c r="A44" s="409"/>
      <c r="B44" s="341"/>
      <c r="C44" s="341"/>
      <c r="D44" s="341"/>
      <c r="E44" s="341"/>
      <c r="F44" s="341"/>
      <c r="G44" s="341"/>
      <c r="H44" s="341"/>
      <c r="I44" s="341"/>
      <c r="J44" s="341"/>
      <c r="K44" s="341"/>
      <c r="L44" s="341"/>
      <c r="M44" s="341"/>
      <c r="N44" s="341"/>
      <c r="O44" s="341"/>
      <c r="P44" s="341"/>
      <c r="Q44" s="341"/>
      <c r="R44" s="341"/>
      <c r="S44" s="341"/>
      <c r="T44" s="341"/>
      <c r="U44" s="341"/>
      <c r="V44" s="341"/>
      <c r="W44" s="341"/>
      <c r="X44" s="341"/>
    </row>
    <row r="45" spans="1:24" x14ac:dyDescent="0.35">
      <c r="A45" s="409"/>
      <c r="B45" s="341"/>
      <c r="C45" s="341"/>
      <c r="D45" s="341"/>
      <c r="E45" s="341"/>
      <c r="F45" s="341"/>
      <c r="G45" s="341"/>
      <c r="H45" s="341"/>
      <c r="I45" s="341"/>
      <c r="J45" s="341"/>
      <c r="K45" s="341"/>
      <c r="L45" s="341"/>
      <c r="M45" s="341"/>
      <c r="N45" s="341"/>
      <c r="O45" s="341"/>
      <c r="P45" s="341"/>
      <c r="Q45" s="341"/>
      <c r="R45" s="341"/>
      <c r="S45" s="341"/>
      <c r="T45" s="341"/>
      <c r="U45" s="341"/>
      <c r="V45" s="341"/>
      <c r="W45" s="341"/>
      <c r="X45" s="341"/>
    </row>
    <row r="46" spans="1:24" x14ac:dyDescent="0.35">
      <c r="A46" s="409"/>
      <c r="B46" s="341"/>
      <c r="C46" s="341"/>
      <c r="D46" s="341"/>
      <c r="E46" s="341"/>
      <c r="F46" s="341"/>
      <c r="G46" s="341"/>
      <c r="H46" s="341"/>
      <c r="I46" s="341"/>
      <c r="J46" s="341"/>
      <c r="K46" s="341"/>
      <c r="L46" s="341"/>
      <c r="M46" s="341"/>
      <c r="N46" s="341"/>
      <c r="O46" s="341"/>
      <c r="P46" s="341"/>
      <c r="Q46" s="341"/>
      <c r="R46" s="341"/>
      <c r="S46" s="341"/>
      <c r="T46" s="341"/>
      <c r="U46" s="341"/>
      <c r="V46" s="341"/>
      <c r="W46" s="341"/>
      <c r="X46" s="341"/>
    </row>
    <row r="47" spans="1:24" ht="9" customHeight="1" x14ac:dyDescent="0.35">
      <c r="A47" s="409"/>
      <c r="B47" s="341"/>
      <c r="C47" s="411"/>
      <c r="D47" s="340"/>
      <c r="E47" s="340"/>
      <c r="F47" s="340"/>
      <c r="G47" s="340"/>
      <c r="H47" s="340"/>
      <c r="I47" s="340"/>
      <c r="J47" s="340"/>
      <c r="K47" s="340"/>
      <c r="L47" s="340"/>
      <c r="M47" s="340"/>
      <c r="N47" s="340"/>
      <c r="O47" s="340"/>
      <c r="P47" s="340"/>
      <c r="Q47" s="340"/>
      <c r="R47" s="340"/>
      <c r="S47" s="340"/>
      <c r="T47" s="340"/>
      <c r="U47" s="340"/>
      <c r="V47" s="340"/>
      <c r="W47" s="341"/>
      <c r="X47" s="341"/>
    </row>
    <row r="48" spans="1:24" hidden="1" x14ac:dyDescent="0.35">
      <c r="A48" s="341"/>
      <c r="B48" s="341"/>
      <c r="C48" s="340"/>
      <c r="D48" s="340"/>
      <c r="E48" s="340"/>
      <c r="F48" s="340"/>
      <c r="G48" s="340"/>
      <c r="H48" s="340"/>
      <c r="I48" s="340"/>
      <c r="J48" s="340"/>
      <c r="K48" s="340"/>
      <c r="L48" s="340"/>
      <c r="M48" s="340"/>
      <c r="N48" s="340"/>
      <c r="O48" s="340"/>
      <c r="P48" s="340"/>
      <c r="Q48" s="340"/>
      <c r="R48" s="340"/>
      <c r="S48" s="340"/>
      <c r="T48" s="340"/>
      <c r="U48" s="340"/>
      <c r="V48" s="340"/>
      <c r="W48" s="341"/>
      <c r="X48" s="341"/>
    </row>
    <row r="49" spans="1:27" ht="15.4" hidden="1" x14ac:dyDescent="0.45">
      <c r="A49" s="341"/>
      <c r="B49" s="341"/>
      <c r="C49" s="427"/>
      <c r="D49" s="340"/>
      <c r="E49" s="340"/>
      <c r="F49" s="340"/>
      <c r="G49" s="340"/>
      <c r="H49" s="340"/>
      <c r="I49" s="340"/>
      <c r="J49" s="340"/>
      <c r="K49" s="340"/>
      <c r="L49" s="340"/>
      <c r="M49" s="340"/>
      <c r="N49" s="340"/>
      <c r="O49" s="340"/>
      <c r="P49" s="340"/>
      <c r="Q49" s="340"/>
      <c r="R49" s="340"/>
      <c r="S49" s="340"/>
      <c r="T49" s="340"/>
      <c r="U49" s="340"/>
      <c r="V49" s="340"/>
      <c r="W49" s="341"/>
      <c r="X49" s="341"/>
    </row>
    <row r="50" spans="1:27" hidden="1" x14ac:dyDescent="0.35">
      <c r="A50" s="341"/>
      <c r="B50" s="341"/>
      <c r="C50" s="340"/>
      <c r="D50" s="340"/>
      <c r="E50" s="340"/>
      <c r="F50" s="340"/>
      <c r="G50" s="340"/>
      <c r="H50" s="340"/>
      <c r="I50" s="340"/>
      <c r="J50" s="340"/>
      <c r="K50" s="340"/>
      <c r="L50" s="340"/>
      <c r="M50" s="340"/>
      <c r="N50" s="340"/>
      <c r="O50" s="340"/>
      <c r="P50" s="340"/>
      <c r="Q50" s="340"/>
      <c r="R50" s="340"/>
      <c r="S50" s="340"/>
      <c r="T50" s="340"/>
      <c r="U50" s="340"/>
      <c r="V50" s="340"/>
      <c r="W50" s="341"/>
      <c r="X50" s="341"/>
    </row>
    <row r="51" spans="1:27" hidden="1" x14ac:dyDescent="0.35">
      <c r="A51" s="341"/>
      <c r="B51" s="341"/>
      <c r="C51" s="340"/>
      <c r="D51" s="340"/>
      <c r="E51" s="340"/>
      <c r="F51" s="340"/>
      <c r="G51" s="340"/>
      <c r="H51" s="340"/>
      <c r="I51" s="340"/>
      <c r="J51" s="340"/>
      <c r="K51" s="340"/>
      <c r="L51" s="340"/>
      <c r="M51" s="340"/>
      <c r="N51" s="340"/>
      <c r="O51" s="340"/>
      <c r="P51" s="340"/>
      <c r="Q51" s="340"/>
      <c r="R51" s="340"/>
      <c r="S51" s="340"/>
      <c r="T51" s="340"/>
      <c r="U51" s="340"/>
      <c r="V51" s="340"/>
      <c r="W51" s="341"/>
      <c r="X51" s="341"/>
    </row>
    <row r="52" spans="1:27" hidden="1" x14ac:dyDescent="0.35">
      <c r="A52" s="341"/>
      <c r="B52" s="341"/>
      <c r="C52" s="340"/>
      <c r="D52" s="340"/>
      <c r="E52" s="340"/>
      <c r="F52" s="340"/>
      <c r="G52" s="340"/>
      <c r="H52" s="340"/>
      <c r="I52" s="340"/>
      <c r="J52" s="340"/>
      <c r="K52" s="340"/>
      <c r="L52" s="340"/>
      <c r="M52" s="340"/>
      <c r="N52" s="340"/>
      <c r="O52" s="340"/>
      <c r="P52" s="340"/>
      <c r="Q52" s="340"/>
      <c r="R52" s="340"/>
      <c r="S52" s="340"/>
      <c r="T52" s="340"/>
      <c r="U52" s="340"/>
      <c r="V52" s="340"/>
      <c r="W52" s="341"/>
      <c r="X52" s="341"/>
    </row>
    <row r="53" spans="1:27" hidden="1" x14ac:dyDescent="0.35">
      <c r="A53" s="341"/>
      <c r="B53" s="341"/>
      <c r="C53" s="340"/>
      <c r="D53" s="340"/>
      <c r="E53" s="340"/>
      <c r="F53" s="340"/>
      <c r="G53" s="340"/>
      <c r="H53" s="340"/>
      <c r="I53" s="340"/>
      <c r="J53" s="340"/>
      <c r="K53" s="340"/>
      <c r="L53" s="340"/>
      <c r="M53" s="340"/>
      <c r="N53" s="340"/>
      <c r="O53" s="340"/>
      <c r="P53" s="340"/>
      <c r="Q53" s="340"/>
      <c r="R53" s="340"/>
      <c r="S53" s="340"/>
      <c r="T53" s="340"/>
      <c r="U53" s="340"/>
      <c r="V53" s="340"/>
      <c r="W53" s="341"/>
      <c r="X53" s="341"/>
    </row>
    <row r="54" spans="1:27" hidden="1" x14ac:dyDescent="0.35">
      <c r="A54" s="341"/>
      <c r="B54" s="341"/>
      <c r="C54" s="340"/>
      <c r="D54" s="340"/>
      <c r="E54" s="340"/>
      <c r="F54" s="340"/>
      <c r="G54" s="340"/>
      <c r="H54" s="340"/>
      <c r="I54" s="340"/>
      <c r="J54" s="340"/>
      <c r="K54" s="340"/>
      <c r="L54" s="340"/>
      <c r="M54" s="340"/>
      <c r="N54" s="340"/>
      <c r="O54" s="340"/>
      <c r="P54" s="340"/>
      <c r="Q54" s="340"/>
      <c r="R54" s="340"/>
      <c r="S54" s="340"/>
      <c r="T54" s="340"/>
      <c r="U54" s="340"/>
      <c r="V54" s="340"/>
      <c r="W54" s="341"/>
      <c r="X54" s="341"/>
    </row>
    <row r="55" spans="1:27" ht="17.649999999999999" x14ac:dyDescent="0.5">
      <c r="A55" s="409"/>
      <c r="B55" s="410">
        <v>2</v>
      </c>
      <c r="C55" s="426" t="str">
        <f>Help!D34</f>
        <v>Adding and changing lighting details:</v>
      </c>
      <c r="D55" s="348"/>
      <c r="E55" s="348"/>
      <c r="F55" s="348"/>
      <c r="G55" s="348"/>
      <c r="H55" s="348"/>
      <c r="I55" s="348"/>
      <c r="J55" s="348"/>
      <c r="K55" s="348"/>
      <c r="L55" s="348"/>
      <c r="M55" s="348"/>
      <c r="N55" s="340"/>
      <c r="O55" s="340"/>
      <c r="P55" s="340"/>
      <c r="Q55" s="340"/>
      <c r="R55" s="340"/>
      <c r="S55" s="340"/>
      <c r="T55" s="340"/>
      <c r="U55" s="340"/>
      <c r="V55" s="340"/>
      <c r="W55" s="340"/>
      <c r="X55" s="340"/>
      <c r="Y55" s="411"/>
      <c r="Z55" s="411"/>
      <c r="AA55" s="411"/>
    </row>
    <row r="56" spans="1:27" x14ac:dyDescent="0.35">
      <c r="A56" s="409"/>
      <c r="B56" s="341"/>
      <c r="C56" s="341"/>
      <c r="D56" s="341"/>
      <c r="E56" s="341"/>
      <c r="F56" s="341"/>
      <c r="G56" s="341"/>
      <c r="H56" s="341"/>
      <c r="I56" s="341"/>
      <c r="J56" s="341"/>
      <c r="K56" s="341"/>
      <c r="L56" s="341"/>
      <c r="M56" s="341"/>
      <c r="N56" s="341"/>
      <c r="O56" s="341"/>
      <c r="P56" s="341"/>
      <c r="Q56" s="341"/>
      <c r="R56" s="341"/>
      <c r="S56" s="341"/>
      <c r="T56" s="341"/>
      <c r="U56" s="341"/>
      <c r="V56" s="341"/>
      <c r="W56" s="341"/>
      <c r="X56" s="341"/>
    </row>
    <row r="57" spans="1:27" x14ac:dyDescent="0.35">
      <c r="A57" s="409"/>
      <c r="B57" s="341"/>
      <c r="C57" s="341"/>
      <c r="D57" s="341"/>
      <c r="E57" s="341"/>
      <c r="F57" s="341"/>
      <c r="G57" s="341"/>
      <c r="H57" s="341"/>
      <c r="I57" s="341"/>
      <c r="J57" s="341"/>
      <c r="K57" s="341"/>
      <c r="L57" s="341"/>
      <c r="M57" s="341"/>
      <c r="N57" s="341"/>
      <c r="O57" s="341"/>
      <c r="P57" s="341"/>
      <c r="Q57" s="341"/>
      <c r="R57" s="341"/>
      <c r="S57" s="341"/>
      <c r="T57" s="341"/>
      <c r="U57" s="341"/>
      <c r="V57" s="341"/>
      <c r="W57" s="341"/>
      <c r="X57" s="341"/>
    </row>
    <row r="58" spans="1:27" x14ac:dyDescent="0.35">
      <c r="A58" s="409"/>
      <c r="B58" s="341"/>
      <c r="C58" s="341"/>
      <c r="D58" s="341"/>
      <c r="E58" s="341"/>
      <c r="F58" s="341"/>
      <c r="G58" s="341"/>
      <c r="H58" s="341"/>
      <c r="I58" s="341"/>
      <c r="J58" s="341"/>
      <c r="K58" s="341"/>
      <c r="L58" s="341"/>
      <c r="M58" s="341"/>
      <c r="N58" s="341"/>
      <c r="O58" s="341"/>
      <c r="P58" s="341"/>
      <c r="Q58" s="341"/>
      <c r="R58" s="341"/>
      <c r="S58" s="341"/>
      <c r="T58" s="341"/>
      <c r="U58" s="341"/>
      <c r="V58" s="341"/>
      <c r="W58" s="341"/>
      <c r="X58" s="341"/>
    </row>
    <row r="59" spans="1:27" x14ac:dyDescent="0.35">
      <c r="A59" s="409"/>
      <c r="B59" s="341"/>
      <c r="C59" s="341"/>
      <c r="D59" s="341"/>
      <c r="E59" s="341"/>
      <c r="F59" s="341"/>
      <c r="G59" s="341"/>
      <c r="H59" s="341"/>
      <c r="I59" s="341"/>
      <c r="J59" s="341"/>
      <c r="K59" s="341"/>
      <c r="L59" s="341"/>
      <c r="M59" s="341"/>
      <c r="N59" s="341"/>
      <c r="O59" s="341"/>
      <c r="P59" s="341"/>
      <c r="Q59" s="341"/>
      <c r="R59" s="341"/>
      <c r="S59" s="341"/>
      <c r="T59" s="341"/>
      <c r="U59" s="341"/>
      <c r="V59" s="341"/>
      <c r="W59" s="341"/>
      <c r="X59" s="341"/>
    </row>
    <row r="60" spans="1:27" x14ac:dyDescent="0.35">
      <c r="A60" s="409"/>
      <c r="B60" s="341"/>
      <c r="C60" s="341"/>
      <c r="D60" s="341"/>
      <c r="E60" s="341"/>
      <c r="F60" s="341"/>
      <c r="G60" s="341"/>
      <c r="H60" s="341"/>
      <c r="I60" s="341"/>
      <c r="J60" s="341"/>
      <c r="K60" s="341"/>
      <c r="L60" s="341"/>
      <c r="M60" s="341"/>
      <c r="N60" s="341"/>
      <c r="O60" s="341"/>
      <c r="P60" s="341"/>
      <c r="Q60" s="341"/>
      <c r="R60" s="341"/>
      <c r="S60" s="341"/>
      <c r="T60" s="341"/>
      <c r="U60" s="341"/>
      <c r="V60" s="341"/>
      <c r="W60" s="341"/>
      <c r="X60" s="341"/>
    </row>
    <row r="61" spans="1:27" x14ac:dyDescent="0.35">
      <c r="A61" s="409"/>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409"/>
      <c r="Z61" s="409"/>
      <c r="AA61" s="409"/>
    </row>
    <row r="62" spans="1:27" x14ac:dyDescent="0.35">
      <c r="A62" s="409"/>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409"/>
      <c r="Z62" s="409"/>
      <c r="AA62" s="409"/>
    </row>
    <row r="63" spans="1:27" x14ac:dyDescent="0.35">
      <c r="A63" s="409"/>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409"/>
      <c r="Z63" s="409"/>
      <c r="AA63" s="409"/>
    </row>
    <row r="64" spans="1:27" x14ac:dyDescent="0.35">
      <c r="A64" s="409"/>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409"/>
      <c r="Z64" s="409"/>
      <c r="AA64" s="409"/>
    </row>
    <row r="65" spans="1:27" x14ac:dyDescent="0.35">
      <c r="A65" s="409"/>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409"/>
      <c r="Z65" s="409"/>
      <c r="AA65" s="409"/>
    </row>
    <row r="66" spans="1:27" x14ac:dyDescent="0.35">
      <c r="A66" s="409"/>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409"/>
      <c r="Z66" s="409"/>
      <c r="AA66" s="409"/>
    </row>
    <row r="67" spans="1:27" x14ac:dyDescent="0.35">
      <c r="A67" s="409"/>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409"/>
      <c r="Z67" s="409"/>
      <c r="AA67" s="409"/>
    </row>
    <row r="68" spans="1:27" x14ac:dyDescent="0.35">
      <c r="A68" s="409"/>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409"/>
      <c r="Z68" s="409"/>
      <c r="AA68" s="409"/>
    </row>
    <row r="69" spans="1:27" x14ac:dyDescent="0.35">
      <c r="A69" s="409"/>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409"/>
      <c r="Z69" s="409"/>
      <c r="AA69" s="409"/>
    </row>
    <row r="70" spans="1:27" x14ac:dyDescent="0.35">
      <c r="A70" s="409"/>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409"/>
      <c r="Z70" s="409"/>
      <c r="AA70" s="409"/>
    </row>
    <row r="71" spans="1:27" x14ac:dyDescent="0.35">
      <c r="A71" s="409"/>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409"/>
      <c r="Z71" s="409"/>
      <c r="AA71" s="409"/>
    </row>
    <row r="72" spans="1:27" x14ac:dyDescent="0.35">
      <c r="A72" s="409"/>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409"/>
      <c r="Z72" s="409"/>
      <c r="AA72" s="409"/>
    </row>
    <row r="73" spans="1:27" x14ac:dyDescent="0.35">
      <c r="A73" s="409"/>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409"/>
      <c r="Z73" s="409"/>
      <c r="AA73" s="409"/>
    </row>
    <row r="74" spans="1:27" x14ac:dyDescent="0.35">
      <c r="A74" s="409"/>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409"/>
      <c r="Z74" s="409"/>
      <c r="AA74" s="409"/>
    </row>
    <row r="75" spans="1:27" x14ac:dyDescent="0.35">
      <c r="A75" s="409"/>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409"/>
      <c r="Z75" s="409"/>
      <c r="AA75" s="409"/>
    </row>
    <row r="76" spans="1:27" x14ac:dyDescent="0.35">
      <c r="A76" s="409"/>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409"/>
      <c r="Z76" s="409"/>
      <c r="AA76" s="409"/>
    </row>
    <row r="77" spans="1:27" x14ac:dyDescent="0.35">
      <c r="A77" s="409"/>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409"/>
      <c r="Z77" s="409"/>
      <c r="AA77" s="409"/>
    </row>
    <row r="78" spans="1:27" x14ac:dyDescent="0.35">
      <c r="A78" s="409"/>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409"/>
      <c r="Z78" s="409"/>
      <c r="AA78" s="409"/>
    </row>
    <row r="79" spans="1:27" x14ac:dyDescent="0.35">
      <c r="A79" s="409"/>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409"/>
      <c r="Z79" s="409"/>
      <c r="AA79" s="409"/>
    </row>
    <row r="80" spans="1:27" x14ac:dyDescent="0.35">
      <c r="A80" s="409"/>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409"/>
      <c r="Z80" s="409"/>
      <c r="AA80" s="409"/>
    </row>
    <row r="81" spans="1:27" x14ac:dyDescent="0.35">
      <c r="A81" s="409"/>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409"/>
      <c r="Z81" s="409"/>
      <c r="AA81" s="409"/>
    </row>
    <row r="82" spans="1:27" x14ac:dyDescent="0.35">
      <c r="A82" s="409"/>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409"/>
      <c r="Z82" s="409"/>
      <c r="AA82" s="409"/>
    </row>
    <row r="83" spans="1:27" x14ac:dyDescent="0.35">
      <c r="A83" s="409"/>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409"/>
      <c r="Z83" s="409"/>
      <c r="AA83" s="409"/>
    </row>
    <row r="84" spans="1:27" x14ac:dyDescent="0.35">
      <c r="A84" s="409"/>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409"/>
      <c r="Z84" s="409"/>
      <c r="AA84" s="409"/>
    </row>
    <row r="85" spans="1:27" x14ac:dyDescent="0.35">
      <c r="A85" s="409"/>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409"/>
      <c r="Z85" s="409"/>
      <c r="AA85" s="409"/>
    </row>
    <row r="86" spans="1:27" x14ac:dyDescent="0.35">
      <c r="A86" s="409"/>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409"/>
      <c r="Z86" s="409"/>
      <c r="AA86" s="409"/>
    </row>
    <row r="87" spans="1:27" x14ac:dyDescent="0.35">
      <c r="A87" s="409"/>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409"/>
      <c r="Z87" s="409"/>
      <c r="AA87" s="409"/>
    </row>
    <row r="88" spans="1:27" x14ac:dyDescent="0.35">
      <c r="A88" s="409"/>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409"/>
      <c r="Z88" s="409"/>
      <c r="AA88" s="409"/>
    </row>
    <row r="89" spans="1:27" x14ac:dyDescent="0.35">
      <c r="A89" s="409"/>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409"/>
      <c r="Z89" s="409"/>
      <c r="AA89" s="409"/>
    </row>
    <row r="90" spans="1:27" x14ac:dyDescent="0.35">
      <c r="A90" s="409"/>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409"/>
      <c r="Z90" s="409"/>
      <c r="AA90" s="409"/>
    </row>
    <row r="91" spans="1:27" x14ac:dyDescent="0.35">
      <c r="A91" s="409"/>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409"/>
      <c r="Z91" s="409"/>
      <c r="AA91" s="409"/>
    </row>
    <row r="92" spans="1:27" x14ac:dyDescent="0.35">
      <c r="A92" s="409"/>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409"/>
      <c r="Z92" s="409"/>
      <c r="AA92" s="409"/>
    </row>
    <row r="93" spans="1:27" x14ac:dyDescent="0.35">
      <c r="A93" s="409"/>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409"/>
      <c r="Z93" s="409"/>
      <c r="AA93" s="409"/>
    </row>
    <row r="94" spans="1:27" x14ac:dyDescent="0.35">
      <c r="A94" s="409"/>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409"/>
      <c r="Z94" s="409"/>
      <c r="AA94" s="409"/>
    </row>
    <row r="95" spans="1:27" x14ac:dyDescent="0.35">
      <c r="A95" s="409"/>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409"/>
      <c r="Z95" s="409"/>
      <c r="AA95" s="409"/>
    </row>
    <row r="96" spans="1:27" x14ac:dyDescent="0.35">
      <c r="A96" s="409"/>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409"/>
      <c r="Z96" s="409"/>
      <c r="AA96" s="409"/>
    </row>
    <row r="97" spans="1:27" x14ac:dyDescent="0.35">
      <c r="A97" s="409"/>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409"/>
      <c r="Z97" s="409"/>
      <c r="AA97" s="409"/>
    </row>
    <row r="98" spans="1:27" ht="15.4" x14ac:dyDescent="0.45">
      <c r="A98" s="409"/>
      <c r="B98" s="341"/>
      <c r="C98" s="412"/>
      <c r="D98" s="341"/>
      <c r="E98" s="341"/>
      <c r="F98" s="341"/>
      <c r="G98" s="341"/>
      <c r="H98" s="341"/>
      <c r="I98" s="341"/>
      <c r="J98" s="341"/>
      <c r="K98" s="341"/>
      <c r="L98" s="341"/>
      <c r="M98" s="341"/>
      <c r="N98" s="341"/>
      <c r="O98" s="341"/>
      <c r="P98" s="341"/>
      <c r="Q98" s="341"/>
      <c r="R98" s="341"/>
      <c r="S98" s="341"/>
      <c r="T98" s="341"/>
      <c r="U98" s="341"/>
      <c r="V98" s="341"/>
      <c r="W98" s="341"/>
      <c r="X98" s="341"/>
      <c r="Y98" s="409"/>
      <c r="Z98" s="409"/>
      <c r="AA98" s="409"/>
    </row>
    <row r="99" spans="1:27" x14ac:dyDescent="0.35">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409"/>
      <c r="Z99" s="409"/>
      <c r="AA99" s="409"/>
    </row>
    <row r="100" spans="1:27" x14ac:dyDescent="0.35">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409"/>
      <c r="Z100" s="409"/>
      <c r="AA100" s="409"/>
    </row>
    <row r="101" spans="1:27" x14ac:dyDescent="0.35">
      <c r="A101" s="341"/>
      <c r="B101" s="341"/>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409"/>
      <c r="Z101" s="409"/>
      <c r="AA101" s="409"/>
    </row>
    <row r="102" spans="1:27" ht="9" customHeight="1" x14ac:dyDescent="0.35">
      <c r="A102" s="341"/>
      <c r="B102" s="341"/>
      <c r="C102" s="340"/>
      <c r="D102" s="340"/>
      <c r="E102" s="340"/>
      <c r="F102" s="340"/>
      <c r="G102" s="340"/>
      <c r="H102" s="340"/>
      <c r="I102" s="340"/>
      <c r="J102" s="340"/>
      <c r="K102" s="340"/>
      <c r="L102" s="340"/>
      <c r="M102" s="340"/>
      <c r="N102" s="340"/>
      <c r="O102" s="340"/>
      <c r="P102" s="340"/>
      <c r="Q102" s="340"/>
      <c r="R102" s="340"/>
      <c r="S102" s="340"/>
      <c r="T102" s="340"/>
      <c r="U102" s="340"/>
      <c r="V102" s="340"/>
      <c r="W102" s="341"/>
      <c r="X102" s="341"/>
    </row>
    <row r="103" spans="1:27" hidden="1" x14ac:dyDescent="0.35">
      <c r="A103" s="341"/>
      <c r="B103" s="341"/>
      <c r="C103" s="340"/>
      <c r="D103" s="340"/>
      <c r="E103" s="340"/>
      <c r="F103" s="340"/>
      <c r="G103" s="340"/>
      <c r="H103" s="340"/>
      <c r="I103" s="340"/>
      <c r="J103" s="340"/>
      <c r="K103" s="340"/>
      <c r="L103" s="340"/>
      <c r="M103" s="340"/>
      <c r="N103" s="340"/>
      <c r="O103" s="340"/>
      <c r="P103" s="340"/>
      <c r="Q103" s="340"/>
      <c r="R103" s="340"/>
      <c r="S103" s="340"/>
      <c r="T103" s="340"/>
      <c r="U103" s="340"/>
      <c r="V103" s="340"/>
      <c r="W103" s="341"/>
      <c r="X103" s="341"/>
    </row>
    <row r="104" spans="1:27" hidden="1" x14ac:dyDescent="0.35">
      <c r="A104" s="341"/>
      <c r="B104" s="341"/>
      <c r="C104" s="340"/>
      <c r="D104" s="340"/>
      <c r="E104" s="340"/>
      <c r="F104" s="340"/>
      <c r="G104" s="340"/>
      <c r="H104" s="340"/>
      <c r="I104" s="340"/>
      <c r="J104" s="340"/>
      <c r="K104" s="340"/>
      <c r="L104" s="340"/>
      <c r="M104" s="340"/>
      <c r="N104" s="340"/>
      <c r="O104" s="340"/>
      <c r="P104" s="340"/>
      <c r="Q104" s="340"/>
      <c r="R104" s="340"/>
      <c r="S104" s="340"/>
      <c r="T104" s="340"/>
      <c r="U104" s="340"/>
      <c r="V104" s="340"/>
      <c r="W104" s="341"/>
      <c r="X104" s="341"/>
    </row>
    <row r="105" spans="1:27" hidden="1" x14ac:dyDescent="0.35">
      <c r="A105" s="341"/>
      <c r="B105" s="341"/>
      <c r="C105" s="340"/>
      <c r="D105" s="340"/>
      <c r="E105" s="340"/>
      <c r="F105" s="340"/>
      <c r="G105" s="340"/>
      <c r="H105" s="340"/>
      <c r="I105" s="340"/>
      <c r="J105" s="340"/>
      <c r="K105" s="340"/>
      <c r="L105" s="340"/>
      <c r="M105" s="340"/>
      <c r="N105" s="340"/>
      <c r="O105" s="340"/>
      <c r="P105" s="340"/>
      <c r="Q105" s="340"/>
      <c r="R105" s="340"/>
      <c r="S105" s="340"/>
      <c r="T105" s="340"/>
      <c r="U105" s="340"/>
      <c r="V105" s="340"/>
      <c r="W105" s="341"/>
      <c r="X105" s="341"/>
    </row>
    <row r="106" spans="1:27" ht="17.649999999999999" x14ac:dyDescent="0.5">
      <c r="A106" s="409"/>
      <c r="B106" s="410">
        <v>3</v>
      </c>
      <c r="C106" s="426" t="str">
        <f>Help!D39</f>
        <v>Error and alert messages</v>
      </c>
      <c r="D106" s="348"/>
      <c r="E106" s="348"/>
      <c r="F106" s="348"/>
      <c r="G106" s="348"/>
      <c r="H106" s="348"/>
      <c r="I106" s="348"/>
      <c r="J106" s="348"/>
      <c r="K106" s="340"/>
      <c r="L106" s="340"/>
      <c r="M106" s="340"/>
      <c r="N106" s="340"/>
      <c r="O106" s="340"/>
      <c r="P106" s="340"/>
      <c r="Q106" s="340"/>
      <c r="R106" s="340"/>
      <c r="S106" s="340"/>
      <c r="T106" s="340"/>
      <c r="U106" s="340"/>
      <c r="V106" s="340"/>
      <c r="W106" s="341"/>
      <c r="X106" s="341"/>
    </row>
    <row r="107" spans="1:27" ht="17.25" x14ac:dyDescent="0.45">
      <c r="A107" s="409"/>
      <c r="B107" s="363"/>
      <c r="C107" s="363"/>
      <c r="D107" s="363"/>
      <c r="E107" s="363"/>
      <c r="F107" s="363"/>
      <c r="G107" s="363"/>
      <c r="H107" s="363"/>
      <c r="I107" s="363"/>
      <c r="J107" s="363"/>
      <c r="K107" s="341"/>
      <c r="L107" s="341"/>
      <c r="M107" s="341"/>
      <c r="N107" s="341"/>
      <c r="O107" s="341"/>
      <c r="P107" s="341"/>
      <c r="Q107" s="341"/>
      <c r="R107" s="341"/>
      <c r="S107" s="341"/>
      <c r="T107" s="341"/>
      <c r="U107" s="341"/>
      <c r="V107" s="341"/>
      <c r="W107" s="341"/>
      <c r="X107" s="341"/>
    </row>
    <row r="108" spans="1:27" x14ac:dyDescent="0.35">
      <c r="A108" s="409"/>
      <c r="B108" s="341"/>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row>
    <row r="109" spans="1:27" x14ac:dyDescent="0.35">
      <c r="A109" s="409"/>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row>
    <row r="110" spans="1:27" x14ac:dyDescent="0.35">
      <c r="A110" s="409"/>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row>
    <row r="111" spans="1:27" x14ac:dyDescent="0.35">
      <c r="A111" s="409"/>
      <c r="B111" s="341"/>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row>
    <row r="112" spans="1:27" x14ac:dyDescent="0.35">
      <c r="A112" s="409"/>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409"/>
      <c r="Z112" s="409"/>
      <c r="AA112" s="409"/>
    </row>
    <row r="113" spans="1:27" x14ac:dyDescent="0.35">
      <c r="A113" s="409"/>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409"/>
      <c r="Z113" s="409"/>
      <c r="AA113" s="409"/>
    </row>
    <row r="114" spans="1:27" x14ac:dyDescent="0.35">
      <c r="A114" s="409"/>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409"/>
      <c r="Z114" s="409"/>
      <c r="AA114" s="409"/>
    </row>
    <row r="115" spans="1:27" x14ac:dyDescent="0.35">
      <c r="A115" s="409"/>
      <c r="B115" s="341"/>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409"/>
      <c r="Z115" s="409"/>
      <c r="AA115" s="409"/>
    </row>
    <row r="116" spans="1:27" x14ac:dyDescent="0.35">
      <c r="A116" s="409"/>
      <c r="B116" s="341"/>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409"/>
      <c r="Z116" s="409"/>
      <c r="AA116" s="409"/>
    </row>
    <row r="117" spans="1:27" x14ac:dyDescent="0.35">
      <c r="A117" s="409"/>
      <c r="B117" s="341"/>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409"/>
      <c r="Z117" s="409"/>
      <c r="AA117" s="409"/>
    </row>
    <row r="118" spans="1:27" x14ac:dyDescent="0.35">
      <c r="A118" s="409"/>
      <c r="B118" s="341"/>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409"/>
      <c r="Z118" s="409"/>
      <c r="AA118" s="409"/>
    </row>
    <row r="119" spans="1:27" x14ac:dyDescent="0.35">
      <c r="A119" s="409"/>
      <c r="B119" s="341"/>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409"/>
      <c r="Z119" s="409"/>
      <c r="AA119" s="409"/>
    </row>
    <row r="120" spans="1:27" x14ac:dyDescent="0.35">
      <c r="A120" s="409"/>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409"/>
      <c r="Z120" s="409"/>
      <c r="AA120" s="409"/>
    </row>
    <row r="121" spans="1:27" x14ac:dyDescent="0.35">
      <c r="A121" s="409"/>
      <c r="B121" s="341"/>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409"/>
      <c r="Z121" s="409"/>
      <c r="AA121" s="409"/>
    </row>
    <row r="122" spans="1:27" x14ac:dyDescent="0.35">
      <c r="A122" s="409"/>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409"/>
      <c r="Z122" s="409"/>
      <c r="AA122" s="409"/>
    </row>
    <row r="123" spans="1:27" x14ac:dyDescent="0.35">
      <c r="A123" s="409"/>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409"/>
      <c r="Z123" s="409"/>
      <c r="AA123" s="409"/>
    </row>
    <row r="124" spans="1:27" x14ac:dyDescent="0.35">
      <c r="A124" s="409"/>
      <c r="B124" s="341"/>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409"/>
      <c r="Z124" s="409"/>
      <c r="AA124" s="409"/>
    </row>
    <row r="125" spans="1:27" x14ac:dyDescent="0.35">
      <c r="A125" s="409"/>
      <c r="B125" s="341"/>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409"/>
      <c r="Z125" s="409"/>
      <c r="AA125" s="409"/>
    </row>
    <row r="126" spans="1:27" x14ac:dyDescent="0.35">
      <c r="A126" s="409"/>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409"/>
      <c r="Z126" s="409"/>
      <c r="AA126" s="409"/>
    </row>
    <row r="127" spans="1:27" x14ac:dyDescent="0.35">
      <c r="A127" s="409"/>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409"/>
      <c r="Z127" s="409"/>
      <c r="AA127" s="409"/>
    </row>
    <row r="128" spans="1:27" x14ac:dyDescent="0.35">
      <c r="A128" s="409"/>
      <c r="B128" s="341"/>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409"/>
      <c r="Z128" s="409"/>
      <c r="AA128" s="409"/>
    </row>
    <row r="129" spans="1:27" x14ac:dyDescent="0.35">
      <c r="A129" s="409"/>
      <c r="B129" s="341"/>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409"/>
      <c r="Z129" s="409"/>
      <c r="AA129" s="409"/>
    </row>
    <row r="130" spans="1:27" x14ac:dyDescent="0.35">
      <c r="A130" s="409"/>
      <c r="B130" s="341"/>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409"/>
      <c r="Z130" s="409"/>
      <c r="AA130" s="409"/>
    </row>
    <row r="131" spans="1:27" x14ac:dyDescent="0.35">
      <c r="A131" s="409"/>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409"/>
      <c r="Z131" s="409"/>
      <c r="AA131" s="409"/>
    </row>
    <row r="132" spans="1:27" x14ac:dyDescent="0.35">
      <c r="A132" s="409"/>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409"/>
      <c r="Z132" s="409"/>
      <c r="AA132" s="409"/>
    </row>
    <row r="133" spans="1:27" x14ac:dyDescent="0.35">
      <c r="A133" s="409"/>
      <c r="B133" s="341"/>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409"/>
      <c r="Z133" s="409"/>
      <c r="AA133" s="409"/>
    </row>
    <row r="134" spans="1:27" x14ac:dyDescent="0.35">
      <c r="A134" s="409"/>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409"/>
      <c r="Z134" s="409"/>
      <c r="AA134" s="409"/>
    </row>
    <row r="135" spans="1:27" x14ac:dyDescent="0.35">
      <c r="A135" s="409"/>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409"/>
      <c r="Z135" s="409"/>
      <c r="AA135" s="409"/>
    </row>
    <row r="136" spans="1:27" x14ac:dyDescent="0.35">
      <c r="A136" s="409"/>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409"/>
      <c r="Z136" s="409"/>
      <c r="AA136" s="409"/>
    </row>
    <row r="137" spans="1:27" x14ac:dyDescent="0.35">
      <c r="A137" s="409"/>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409"/>
      <c r="Z137" s="409"/>
      <c r="AA137" s="409"/>
    </row>
    <row r="138" spans="1:27" x14ac:dyDescent="0.35">
      <c r="A138" s="409"/>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409"/>
      <c r="Z138" s="409"/>
      <c r="AA138" s="409"/>
    </row>
    <row r="139" spans="1:27" x14ac:dyDescent="0.35">
      <c r="A139" s="409"/>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409"/>
      <c r="Z139" s="409"/>
      <c r="AA139" s="409"/>
    </row>
    <row r="140" spans="1:27" x14ac:dyDescent="0.35">
      <c r="A140" s="409"/>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409"/>
      <c r="Z140" s="409"/>
      <c r="AA140" s="409"/>
    </row>
    <row r="141" spans="1:27" x14ac:dyDescent="0.35">
      <c r="A141" s="409"/>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409"/>
      <c r="Z141" s="409"/>
      <c r="AA141" s="409"/>
    </row>
    <row r="142" spans="1:27" x14ac:dyDescent="0.35">
      <c r="A142" s="409"/>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409"/>
      <c r="Z142" s="409"/>
      <c r="AA142" s="409"/>
    </row>
    <row r="143" spans="1:27" x14ac:dyDescent="0.35">
      <c r="A143" s="409"/>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409"/>
      <c r="Z143" s="409"/>
      <c r="AA143" s="409"/>
    </row>
    <row r="144" spans="1:27" x14ac:dyDescent="0.35">
      <c r="A144" s="409"/>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409"/>
      <c r="Z144" s="409"/>
      <c r="AA144" s="409"/>
    </row>
    <row r="145" spans="1:27" x14ac:dyDescent="0.35">
      <c r="A145" s="409"/>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409"/>
      <c r="Z145" s="409"/>
      <c r="AA145" s="409"/>
    </row>
    <row r="146" spans="1:27" x14ac:dyDescent="0.35">
      <c r="A146" s="409"/>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409"/>
      <c r="Z146" s="409"/>
      <c r="AA146" s="409"/>
    </row>
    <row r="147" spans="1:27" x14ac:dyDescent="0.35">
      <c r="A147" s="409"/>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409"/>
      <c r="Z147" s="409"/>
      <c r="AA147" s="409"/>
    </row>
    <row r="148" spans="1:27" x14ac:dyDescent="0.35">
      <c r="A148" s="409"/>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409"/>
      <c r="Z148" s="409"/>
      <c r="AA148" s="409"/>
    </row>
    <row r="149" spans="1:27" x14ac:dyDescent="0.35">
      <c r="A149" s="409"/>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409"/>
      <c r="Z149" s="409"/>
      <c r="AA149" s="409"/>
    </row>
    <row r="150" spans="1:27" ht="12" customHeight="1" x14ac:dyDescent="0.45">
      <c r="A150" s="409"/>
      <c r="B150" s="341"/>
      <c r="C150" s="412"/>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409"/>
      <c r="Z150" s="409"/>
      <c r="AA150" s="409"/>
    </row>
    <row r="151" spans="1:27" hidden="1" x14ac:dyDescent="0.35">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409"/>
      <c r="Z151" s="409"/>
      <c r="AA151" s="409"/>
    </row>
    <row r="152" spans="1:27" hidden="1" x14ac:dyDescent="0.35">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409"/>
      <c r="Z152" s="409"/>
      <c r="AA152" s="409"/>
    </row>
    <row r="153" spans="1:27" hidden="1" x14ac:dyDescent="0.35">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409"/>
      <c r="Z153" s="409"/>
      <c r="AA153" s="409"/>
    </row>
    <row r="154" spans="1:27" hidden="1" x14ac:dyDescent="0.35">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409"/>
      <c r="Z154" s="409"/>
      <c r="AA154" s="409"/>
    </row>
    <row r="155" spans="1:27" hidden="1" x14ac:dyDescent="0.35">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409"/>
      <c r="Z155" s="409"/>
      <c r="AA155" s="409"/>
    </row>
    <row r="156" spans="1:27" hidden="1" x14ac:dyDescent="0.35">
      <c r="A156" s="341"/>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409"/>
      <c r="Z156" s="409"/>
      <c r="AA156" s="409"/>
    </row>
    <row r="157" spans="1:27" ht="12.75" customHeight="1" x14ac:dyDescent="0.35">
      <c r="A157" s="341"/>
      <c r="B157" s="341"/>
      <c r="C157" s="340"/>
      <c r="D157" s="340"/>
      <c r="E157" s="340"/>
      <c r="F157" s="340"/>
      <c r="G157" s="340"/>
      <c r="H157" s="340"/>
      <c r="I157" s="340"/>
      <c r="J157" s="340"/>
      <c r="K157" s="340"/>
      <c r="L157" s="340"/>
      <c r="M157" s="340"/>
      <c r="N157" s="340"/>
      <c r="O157" s="340"/>
      <c r="P157" s="340"/>
      <c r="Q157" s="340"/>
      <c r="R157" s="340"/>
      <c r="S157" s="340"/>
      <c r="T157" s="340"/>
      <c r="U157" s="340"/>
      <c r="V157" s="340"/>
      <c r="W157" s="341"/>
      <c r="X157" s="341"/>
      <c r="Y157" s="409"/>
      <c r="Z157" s="409"/>
      <c r="AA157" s="409"/>
    </row>
    <row r="158" spans="1:27" ht="17.649999999999999" x14ac:dyDescent="0.5">
      <c r="A158" s="413"/>
      <c r="B158" s="410">
        <v>4</v>
      </c>
      <c r="C158" s="426" t="str">
        <f>Help!D46&amp;" (Residential calculator)"</f>
        <v>Outcomes reporting (Residential calculator)</v>
      </c>
      <c r="D158" s="348"/>
      <c r="E158" s="348"/>
      <c r="F158" s="348"/>
      <c r="G158" s="348"/>
      <c r="H158" s="348"/>
      <c r="I158" s="348"/>
      <c r="J158" s="348"/>
      <c r="K158" s="348"/>
      <c r="L158" s="348"/>
      <c r="M158" s="348"/>
      <c r="N158" s="348"/>
      <c r="O158" s="348"/>
      <c r="P158" s="340"/>
      <c r="Q158" s="340"/>
      <c r="R158" s="340"/>
      <c r="S158" s="340"/>
      <c r="T158" s="340"/>
      <c r="U158" s="340"/>
      <c r="V158" s="340"/>
      <c r="W158" s="341"/>
      <c r="X158" s="341"/>
    </row>
    <row r="159" spans="1:27" x14ac:dyDescent="0.35">
      <c r="A159" s="409"/>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row>
    <row r="160" spans="1:27" x14ac:dyDescent="0.35">
      <c r="A160" s="409"/>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row>
    <row r="161" spans="1:24" x14ac:dyDescent="0.35">
      <c r="A161" s="409"/>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row>
    <row r="162" spans="1:24" x14ac:dyDescent="0.35">
      <c r="A162" s="409"/>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row>
    <row r="163" spans="1:24" x14ac:dyDescent="0.35">
      <c r="A163" s="409"/>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row>
    <row r="164" spans="1:24" x14ac:dyDescent="0.35">
      <c r="A164" s="409"/>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row>
    <row r="165" spans="1:24" x14ac:dyDescent="0.35">
      <c r="A165" s="409"/>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row>
    <row r="166" spans="1:24" x14ac:dyDescent="0.35">
      <c r="A166" s="409"/>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row>
    <row r="167" spans="1:24" x14ac:dyDescent="0.35">
      <c r="A167" s="409"/>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row>
    <row r="168" spans="1:24" x14ac:dyDescent="0.35">
      <c r="A168" s="409"/>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row>
    <row r="169" spans="1:24" x14ac:dyDescent="0.35">
      <c r="A169" s="409"/>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row>
    <row r="170" spans="1:24" x14ac:dyDescent="0.35">
      <c r="A170" s="409"/>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row>
    <row r="171" spans="1:24" x14ac:dyDescent="0.35">
      <c r="A171" s="409"/>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row>
    <row r="172" spans="1:24" x14ac:dyDescent="0.35">
      <c r="A172" s="409"/>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row>
    <row r="173" spans="1:24" x14ac:dyDescent="0.35">
      <c r="A173" s="409"/>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row>
    <row r="174" spans="1:24" x14ac:dyDescent="0.35">
      <c r="A174" s="409"/>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row>
    <row r="175" spans="1:24" x14ac:dyDescent="0.35">
      <c r="A175" s="409"/>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row>
    <row r="176" spans="1:24" x14ac:dyDescent="0.35">
      <c r="A176" s="409"/>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row>
    <row r="177" spans="1:24" x14ac:dyDescent="0.35">
      <c r="A177" s="409"/>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row>
    <row r="178" spans="1:24" x14ac:dyDescent="0.35">
      <c r="A178" s="409"/>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row>
    <row r="179" spans="1:24" x14ac:dyDescent="0.35">
      <c r="A179" s="409"/>
      <c r="B179" s="341"/>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row>
    <row r="180" spans="1:24" x14ac:dyDescent="0.35">
      <c r="A180" s="409"/>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row>
    <row r="181" spans="1:24" x14ac:dyDescent="0.35">
      <c r="A181" s="409"/>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row>
    <row r="182" spans="1:24" x14ac:dyDescent="0.35">
      <c r="A182" s="409"/>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row>
    <row r="183" spans="1:24" x14ac:dyDescent="0.35">
      <c r="A183" s="409"/>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row>
    <row r="184" spans="1:24" x14ac:dyDescent="0.35">
      <c r="A184" s="409"/>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row>
    <row r="185" spans="1:24" x14ac:dyDescent="0.35">
      <c r="A185" s="409"/>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row>
    <row r="186" spans="1:24" x14ac:dyDescent="0.35">
      <c r="A186" s="409"/>
      <c r="B186" s="341"/>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row>
    <row r="187" spans="1:24" x14ac:dyDescent="0.35">
      <c r="A187" s="409"/>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row>
    <row r="188" spans="1:24" x14ac:dyDescent="0.35">
      <c r="A188" s="409"/>
      <c r="B188" s="341"/>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row>
    <row r="189" spans="1:24" x14ac:dyDescent="0.35">
      <c r="A189" s="409"/>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row>
    <row r="190" spans="1:24" x14ac:dyDescent="0.35">
      <c r="A190" s="409"/>
      <c r="B190" s="341"/>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row>
    <row r="191" spans="1:24" x14ac:dyDescent="0.35">
      <c r="A191" s="409"/>
      <c r="B191" s="341"/>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row>
    <row r="192" spans="1:24" x14ac:dyDescent="0.35">
      <c r="A192" s="409"/>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row>
    <row r="193" spans="1:24" x14ac:dyDescent="0.35">
      <c r="A193" s="409"/>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row>
    <row r="194" spans="1:24" x14ac:dyDescent="0.35">
      <c r="A194" s="409"/>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row>
    <row r="195" spans="1:24" x14ac:dyDescent="0.35">
      <c r="A195" s="409"/>
      <c r="B195" s="341"/>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row>
    <row r="196" spans="1:24" x14ac:dyDescent="0.35">
      <c r="A196" s="409"/>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row>
    <row r="197" spans="1:24" x14ac:dyDescent="0.35">
      <c r="A197" s="409"/>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row>
    <row r="198" spans="1:24" x14ac:dyDescent="0.35">
      <c r="A198" s="409"/>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row>
    <row r="199" spans="1:24" x14ac:dyDescent="0.35">
      <c r="A199" s="409"/>
      <c r="B199" s="341"/>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row>
    <row r="200" spans="1:24" x14ac:dyDescent="0.35">
      <c r="A200" s="409"/>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row>
    <row r="201" spans="1:24" x14ac:dyDescent="0.35">
      <c r="A201" s="409"/>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row>
    <row r="202" spans="1:24" x14ac:dyDescent="0.35">
      <c r="A202" s="409"/>
      <c r="B202" s="341"/>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row>
    <row r="203" spans="1:24" ht="15.4" x14ac:dyDescent="0.45">
      <c r="A203" s="409"/>
      <c r="B203" s="341"/>
      <c r="C203" s="412"/>
      <c r="D203" s="341"/>
      <c r="E203" s="341"/>
      <c r="F203" s="341"/>
      <c r="G203" s="341"/>
      <c r="H203" s="341"/>
      <c r="I203" s="341"/>
      <c r="J203" s="341"/>
      <c r="K203" s="341"/>
      <c r="L203" s="341"/>
      <c r="M203" s="341"/>
      <c r="N203" s="341"/>
      <c r="O203" s="341"/>
      <c r="P203" s="341"/>
      <c r="Q203" s="341"/>
      <c r="R203" s="341"/>
      <c r="S203" s="341"/>
      <c r="T203" s="341"/>
      <c r="U203" s="341"/>
      <c r="V203" s="341"/>
      <c r="W203" s="341"/>
      <c r="X203" s="341"/>
    </row>
    <row r="204" spans="1:24" x14ac:dyDescent="0.35">
      <c r="A204" s="341"/>
      <c r="B204" s="341"/>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row>
    <row r="205" spans="1:24" x14ac:dyDescent="0.35">
      <c r="A205" s="341"/>
      <c r="B205" s="341"/>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row>
    <row r="206" spans="1:24" x14ac:dyDescent="0.35">
      <c r="A206" s="341"/>
      <c r="B206" s="341"/>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row>
    <row r="207" spans="1:24" x14ac:dyDescent="0.35">
      <c r="A207" s="341"/>
      <c r="B207" s="341"/>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row>
    <row r="208" spans="1:24" x14ac:dyDescent="0.35">
      <c r="A208" s="341"/>
      <c r="B208" s="341"/>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row>
    <row r="209" spans="1:24" x14ac:dyDescent="0.35">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row>
    <row r="210" spans="1:24" x14ac:dyDescent="0.35">
      <c r="A210" s="341"/>
      <c r="B210" s="341"/>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row>
  </sheetData>
  <sheetProtection algorithmName="SHA-512" hashValue="LAFltB2KDPM/iPDu55O37FjQupiwkxdkq+mKdyo504Ii9sepd/6VHWDbh55d5Ed15jL1+K5ah/6ON4hBaM+r/Q==" saltValue="dxtnZCL5cJHA1XZVZ+PoECQa7F/NbWIvNZ7ChoCIc6uIYaV7qTSxz5mYVXHOxsaU31PDwIXySGQtP+ZLrmPKCsGeITWX3v+rEmGMLtZd0To5OgDR6CucfqtVuRpDMQAsFZDNNpaWiR/lEF8f6E8dkh9Yq8ZU6vDY2tI+D6ZNXFdJmOevrnDNyaj9kxJ9teCb39Txu61lSVa7d5/34s9sNF8qrhAr6QuikIb8sCPbTYsaXDGa44gdDPlUEQN1tpikEpXKtUDFQ6R0qSvYQty2AHkCwa61Aii2LGt4D6Ry39+9uWqWaEemnmkFtyauusKNyZu6nsj1YFWYM3EvveYycCLQ2e6h9iGv7mNVLtC+K8bNISu2uwwMXkcJOkL4HZhI1T3ZKiKhmOvESszPX1RT3GbOnqOomy2kMQ4DgRnw1eQR6n8RETId7a5cxgaiPm6CAtP6UuXDVFHOBz9GerYwnIOwmFynAO9zt6K69d/JtyDVbev6YD/1cMfZMTp0uMWDq8zEA36tRE4p5mdYpK+iwfe/ZGIQwvk29s2lGUx5677LVBAiqEP5191yR1xG45/uvKO0SV7aO3j1STx+x/Ke1KmU/fP6rpaTeu57jrPknY9kB2W36M5OaA2+QLQ9IioIupGsuLLLdJwY/tSX3/mfcRv/RcAc5JqRxa+lrJL4qNXc4jF7qe4X1GjRh6sdCprX6Bt4803fCLmRl1mHoMmA+P3DzE7nozBanpBqnoofL7QkqzpUUkpcpHHHfvGqWD9CfWLbj42t5crje43w8ls3fabzVToYGnviR3QpwnOLkz5qUhx6I+bj4ACiBvl/4M4m1wPICxjdN9cCTRzlr3CAkJ4xcNm1ESjVT2zqf8UOgPNGyZFgvcRmDZFfugyFeWvFVmSiw4E3cHVPNthOM+YuSLSD/JFUSCG9uyDVLkgpCTBzjsoNoa+2wqSht+slNbmT2VgVqps4g7YQO9S97u0M5x7Ba8cnnuTcl1LQipgm4JkVOfnDE2XBmuqyyyvtkOUO/4czRQGSTi6/4KkEHM/Pzuurs05NLaCivsAtNS5SVQT7MpzM3gozzurOTh8VDuk4Xrz9wsDXIYb9WlfCw7UWROnM/DGf1jRNH1kKUu3kAJ6ofraylCkeHsX08gGf3icPePIK1kpf96dv5wA3cK/bLB5qJcS1L8G7qMK/byBVRnZHagfENKHCnD/5c72IxaI4UNZcPrTC0Vw3xy9HPyHaaOeXgm3Fi+kZrtNpJdKoFwUcsaAw/eEwcw1TcjxjUQ0//CQh+vufjRHDVK/QpuIoNreuIA22Cj9STaPImXwnzldHbeEeyQ6bmxAcadhMwhSuXL7LxvmIoJs8jBWeHlSoE2SkYRC/SCncv91c4cZ/pvJ+NKIlKEr0MokSZlC9CrCQiILJ3AwBJegtxKEeguhQ6pfjGjjoPAFi6ooRqlma+zg8/nz2e/EJFGZDF7wAu0JYBAMUTHmjBKg4RhVL5OBDInSEd2X81htDenOgewumVEA/Nzr0cRjh9pdWDp6xjWbmX9eSKIJzTLR9GJssgIAIKYTs9UgRdYlpEc2BLOFnn3inr2j4cpO5PFMrBWKt787kZ+bnuWHbTTZQqrH0r3zCzUfAS9XgYwSMSJHJyShuQ+EqiqRkTN+SyoqqHoW7Ru3wAvwQXbqZn9SnO5fatxWob+el0D4EjB9+uG3KVifelb/p6okc0gj8sxkkqWKu7JZ1pLCOz2Fy8ZdNpYrfFaG9dVqJxuZeYXQH8eIwHMpqOKGIKtmg9fcUkEZIh5gRQHSSlynVJQS79oOnB/Q7WtjJv6KTkANwpOdr1bC9ZObQXwJBbyaiBGrs0ZSyOjXmJ7MVKJ+RRIE9NqKK4iidVv2dO4JmB6HOSIjkwhpX6yydCkn0l/sVz9IS+54SfCJAlG0eLQ42BUnOCGYtVQRaPrRzwDodJydNlJukpWazUmYZE1b8uO2ygQ5rcEhvbqpW7xLg2FGChMlonizePbFHQEvjxAeNtAfLgdPjUo1rHjTl+rci2jQNS55FxU5yFSB90EV4lq4pLNo4gRaE0mffWWDT9rGh9dF8VS8oxG1Yt7Vn+OtZ77FshO2Rrz5xWMM9io/Z+CiXcMK+t5zqkEIuQKuy1KVo560k8orPE3KvE/RbyksKcDRvMV2mM0gaI2oYLg2z5oRC8ILML/bF852sgoCLXMaexzUFJim3Ieid5dW3ipl/BT2hAYzhXmS0x6q48ORS/0lI5hrQsGgCCMBoeWmk/Vjs2Bd8eERxlW6B8emYPWqCGlxWV0fWTz24LFjGxh+MzUxIEsjg630g9U+Zrql15TgMRLJt4WpvFh20YKv0GTVhv2Gfn22WGQ+9VUh8xZMcs1HpekEE83knUyX7kQWLXu+bQOxvom6r5OX7r6dR5iDqhz4a4ssKZjNWrg4L+06BpuZ8kebTSiMLzxtMYQoT7w/v4EltMGPJkbSO5hguDyy7w8KdUsSgonMBoQI4213dPZk4lijYlL0gr25C/6qy65XBVjnHLpDd5YlmYQ9BD/U2fDoTgwyAi5Dgcv/jnQGg9OW9isDPESKP36EtxUPLwGB2DLLL3Q+ZTDRx2W/vckJQAYTXxCBBFPS6/v8sX8x696qej2vm7nHcHDTvP6CzLTdwEwdlA/8ik5Ni0ITeBBvsIjn8KOTEoc0hHjwljcEF7VFAfKvZVPAHQ5kyJ554gC5gXg5LCJYeKlCM2ikhK6HSXPb1zs6/D7/zh6nvcaR7mg+FAmpUGiyTJ+E3LyEiDP9atBneHEMX5B1Ka4YP8maAkrJAbaREvhjwlKnKsVTZte5C7e4c9F6VQTBcrzQECj8QDFtrEFEEHzBnGL2UUSf+bbis3QVGUZkj4sIkhY9o8evmwC6Lg7JDcWzp/Rn1O9B9qlPuSgxr+gno16ZygG8MFqmR7DZmdggaClDEvpABwfOtIsg2b0QvJ47ZgePHVEJn977sEP6n22XQeDLOrGWykvbzohOqjeVN+Bokhlys8C+vh/dHBKCH+6VNTjQE+P0wcXvHORR1nFY69X+i3+n2l7mTS7Kr+wwcExnflxs2xGPC71ril45VZs9M2cucVbRR1RgpcSh+7a45kaRB73h2xOXS3tfDpt1TdM2cL3pzRUI9VvaZLXo5aRkdgnzKnHvkijz97wUt1MTTRrgWGP8sxQ9bVjetL/a6p3+Kdg3HBbSnCwjdeSZLyzTdUfFRy2OObNonrUDN2z6iak42IzIzo6OtkR4c0OJeELl1qsoLu7H/h88LedS8cDqhY/SHRXzQ7zBPffZr7uVaxrD/ytPiWNN2gUMI8bWo0cc7OwycqXo2SOVxEkHFxXTZr+5IDreadRooRa7ncOf7CIj6aFDLPO1DGpVawoi9aGCvxApbvIh3zkNAvnInmNatMiKZaXPN++LaA88GtBjSjeA3b2o1iDHH474Y0aaK2g0ZctnW8QXbIJvnyjdGpWCVqxCfyROCxorodNHnsasY+n+yh/MUTuxmgQhJ4AYsOqKcMlsU4U07+4CoKv6mx9c+JBtCqf6qdpQo+Ok2lc3IKkQVI0I7PqB/9S349T1WkaQ6U46CHNmRa4pzjiNwAwIeEzoZhKg3DguSBrNOrfvY0wzeTkRLfPPOmp3jtYENI5WCp2eC5oYJKCDiVYjuksMB/MVUTIeEetcQPWzolQ4upLy3wzxc0T4IwNYCR35n0ehAyPnlBwbnATPpe7yr5NSHdeOqsBSMYFgSTNJu1jqc1rkVt/IQ5Fcv56cLRIxYYBssk1vK3T1utWhR/n7u02Src8cRxGC/ri+JquPjakG8RmQ+POcyNCi6rg/TqtjHfrA8RLda9APK616LsW7WFOtCzRLjDS+B5XnCjRCZKYEY4UmiHSElPH4245JprvL6yS9cKCFth6zZOe+dYLgrnTXCtnvUH4TJ59rkc8gk0uCxoWAQavQUMX+tTw9bmwe7odyTZX3hT6lbouTCqk6xMjWsR+5ELvcwGz/U1u2P9wVthDc36WacDyxc9pEGVtbKlbDbXM4nqSs225Rf0j7eXzrIlKqeYWz9KqeyE+M8RaMDdsmH2RxfnUMQeeiQifIBthDooYbGYBa3wl+HhveRFIpq0Oyw9j93Oo2mfps18PQO4PYUzGGdhXMqnrpD/RMYZVQsMhRGI8Ekx1D+s08wzGErlLXtSIpuK6SgnTGUvCfmyEGHw9Td8ZuuXXYo0djNTevURn/GRGwZ+7yPLSOnjAD9BXtYg5dJTVGPapDPrvk3udKjXwumSJ5tAvgpD7GEQK04rF7hCBpOGV0hVUIj2LWadZdc8Yadb/r331rYDgPPqrhgKDnXTsc0sw6V2pCyzvh6nJua2LaQ1qiftaW5g0mYk1f6Iu271e6xo33iKidQ6AOPmbKOrQXlHmms6DQmzVZp+HYDeqz1BGiLf8D2KY+Cj6ZRlRuSE9zgLYmyZiWwhk6FPLd0xVWH3tPHVSmTDEyZHYlUX/39bDjmWVtjAra77QFS8Y5PTpDf6Cgmr82+8oXBoLPoX1lNxMwKx883BY06gBApZ/hQ9XbQEJPGuXJ3d0m6wk62WvLGrGoLiQTSOhv1yXEN/FqHc0c/SfFH2xeZBzbL2pU6MpXzG4lJwovEQEU5dUT8XXcgKnbYlgIyYUCu39CYygLgaBVNoTAyUi5KVw0eHlB/+HxMtpRnrNf3RoXlaVuPbNKfC4OlstCeX5R4KOnuSVYSO1er9F8nzxZ70GiNRdmggrp0jlq7yPAz6NXY1zgjoou5eAZulCqyxpbpTuQu6dM+o3Arx+njON4wStMN1K1ZltKe3HX4V5kFGE/DOXvRFC0OrfpZPZGHO1mGAq+Mq6DhPO25rMwSnAYX5EJHsA3aBqZwz/AHXxZf3ilwPqK/KrzRVX3eU3cZnU9K59tWcnXLGrHVwNvaJ9q3ufX9hRwhnMn//p0BFK2idkOnRoLVKe5Ss7DLZdEAuqUPNSUOr2HzsBmCgPvJvdxaKeKT5AAlPekzjsD+feuXGQrlCfyg/RQtzbQ7bj2w/mOOqdZyZVmlYQNnMXAy5W2RgAxPU0LHFttb2hHbFxqScZQ9aPpLFJ16dCch3aWrJW/+u7HM//0ThOdHPyAq8UDfa1FwAcIhSeMlQT3khIi1fV5kp+ns62kSzAyvnAOxk4ni0Hy/OvrdG3aanLQY+HjWXp5/mVbEO7u1KR8XktKXkoThb7n68n2InzyxAc7B53n7f6Z8CQ8k31DEuwc31NlPhsLAegmN50MohwYtkl/hQZ8cGC3Zpf3ncU8koB6XZ9K4RtxnCA8DUDW6rLhcU8+btoSRU683GoLqJHE8bHVbS3iD42bCcYpizFkKeeOpepq3hcAKi/ZZtGN8UCweEkh/0jE4/Vzz5I841vt/Kj2tQJ1W/b4W/GFYDNUJe7ttYLB0nblCuhoj1Wi0Tg36AlzWKFDGQdxgA5ISFcpOXHgyZS7WwU2jIEfVGirWeQ3GlyjuHCLgbA63hvpgqYA+XT6KdEc1cIdrwS4sKNhuXisbVWWwQRZDSg4FDkL/5+Uhrq12VufQOuS9E0vq4p8w5zM9+ecNl985a8daZXapmAoV4OwGMHhye66qVM10sUBf72Ee/X+AOsclgVV8XmT9qTz5je9yygv6S2yuKGsNdI0aflT1YkcuzjASQRiEV91yd3Nh4uMCn39j3nkK2B6Nt1piuqtSXoHyX4pLvMelXDjMKyWRytPSTeyOm3CC/hwS6AZCb4OG5nbBhWQF524tXwZieuxJzpWy7X/dltI/AVuU3E/3dXNalQkfFJ6HqekThjqreF2en9USAitLbHZFZcY6ZLMXSh9/jWuOq0qDbKQdhri3OOXm+6+JwOZ/r/kzXYMx1qh9JolYo7PejGXhCdZBG5AeCcZANbn0EL3rxvYxBvpFdAy8gtayYd2t0zHIjHRnDHuIrGXAkTv7wvjYPb98cDBlZydUQzFDaUUa9rAuJ1u5ehq3dHkElGj7bGy+UsCwU5l/HBCYExbZfnBfqMIxNNqccY0NbiZetqE5pMgPfHW36VyPIrh8u8gAr4kN14hXTGJKDuZki2p75X8D+0kukW/nyVtD4mfR6WrE+Kj24aHohDNsydyFFu1kUUO7PnXj5FyMf1TMRyYKQtjfH2aJI6SNRZbsIfaRkgKF6T7Fb91890A6K1ZNibTIrVYY+KBvZfnBfIvzepH++x+9fm2QeI9bFQ9dawT6w2c/xunfRh5TB9H1pxEWBwB+Bj+UmP0DUVaWiBugC54b+6szcq9pGgeBAKCBXzYxI6d+2cOF94gtt0twEoAExP+mmex8McZzhlnWmGmxiZY5UHD3olF9v/vF02A0EoB/ny60XlqUyqFXiitu/QxDsZy3RtaICJRHLWNBZ4EvyLFBqqg+TP0EKBNQi4Bg1GmSi1ZfADtWRPCwt5XS1q2gKwujWEj4UHjJEZQZWPWKgfLQC7ZvwioF3SKY5sWSlygR44hUYN+RqsLiBKp7w1CV8F2oLqUL6PZLd/8ftv7ZvKbOuWswCqM9dOQc0T2XL8uZ47+dOhv5VcKJMNPQHQdhuOUziF+Tlzaw1o1qTuspNnd0xnQzXnmPxDiAc/Lcg7IyNMUlVhRLKSInl5YGTbREKaEWYxpHZfjHa/hpm5FgRs2wTHoEWs04Zex/An3S9yKZI/w=" spinCount="10000000" sheet="1" objects="1" scenarios="1" selectLockedCells="1" selectUnlockedCells="1"/>
  <mergeCells count="1">
    <mergeCell ref="V2:W2"/>
  </mergeCells>
  <phoneticPr fontId="3" type="noConversion"/>
  <pageMargins left="0.25" right="0.25" top="0.75" bottom="0.75" header="0.3" footer="0.3"/>
  <pageSetup paperSize="9" scale="74"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2:B7"/>
  <sheetViews>
    <sheetView workbookViewId="0"/>
  </sheetViews>
  <sheetFormatPr defaultColWidth="8.86328125" defaultRowHeight="12.75" x14ac:dyDescent="0.35"/>
  <sheetData>
    <row r="2" spans="1:2" x14ac:dyDescent="0.35">
      <c r="B2" t="s">
        <v>130</v>
      </c>
    </row>
    <row r="4" spans="1:2" x14ac:dyDescent="0.35">
      <c r="A4">
        <v>1</v>
      </c>
      <c r="B4" t="s">
        <v>141</v>
      </c>
    </row>
    <row r="5" spans="1:2" x14ac:dyDescent="0.35">
      <c r="A5">
        <f>A4+1</f>
        <v>2</v>
      </c>
      <c r="B5" t="s">
        <v>142</v>
      </c>
    </row>
    <row r="6" spans="1:2" x14ac:dyDescent="0.35">
      <c r="A6">
        <f>A5+1</f>
        <v>3</v>
      </c>
      <c r="B6" s="104" t="s">
        <v>131</v>
      </c>
    </row>
    <row r="7" spans="1:2" x14ac:dyDescent="0.35">
      <c r="A7">
        <f>A6+1</f>
        <v>4</v>
      </c>
      <c r="B7" s="104"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99e4c9942c6404eb103464a00e6097b xmlns="d064c82f-d8ab-4a3d-94af-5f326bc58d2d">
      <Terms xmlns="http://schemas.microsoft.com/office/infopath/2007/PartnerControls">
        <TermInfo xmlns="http://schemas.microsoft.com/office/infopath/2007/PartnerControls">
          <TermName xmlns="http://schemas.microsoft.com/office/infopath/2007/PartnerControls">2018-19</TermName>
          <TermId xmlns="http://schemas.microsoft.com/office/infopath/2007/PartnerControls">fdef151b-f514-4f40-b4c7-d447508f4095</TermId>
        </TermInfo>
      </Terms>
    </n99e4c9942c6404eb103464a00e6097b>
    <adb9bed2e36e4a93af574aeb444da63e xmlns="d064c82f-d8ab-4a3d-94af-5f326bc58d2d">
      <Terms xmlns="http://schemas.microsoft.com/office/infopath/2007/PartnerControls">
        <TermInfo xmlns="http://schemas.microsoft.com/office/infopath/2007/PartnerControls">
          <TermName>Energy efficiency</TermName>
          <TermId>fcd68716-df09-4a75-86b3-e9a20333e4a3</TermId>
        </TermInfo>
        <TermInfo xmlns="http://schemas.microsoft.com/office/infopath/2007/PartnerControls">
          <TermName>calculator</TermName>
          <TermId>6aa63241-acf8-4e37-b4c6-b14d6d7f425a</TermId>
        </TermInfo>
      </Terms>
    </adb9bed2e36e4a93af574aeb444da63e>
    <aa25a1a23adf4c92a153145de6afe324 xmlns="d064c82f-d8ab-4a3d-94af-5f326bc58d2d">
      <Terms xmlns="http://schemas.microsoft.com/office/infopath/2007/PartnerControls">
        <TermInfo xmlns="http://schemas.microsoft.com/office/infopath/2007/PartnerControls">
          <TermName xmlns="http://schemas.microsoft.com/office/infopath/2007/PartnerControls">For Official Use Only</TermName>
          <TermId xmlns="http://schemas.microsoft.com/office/infopath/2007/PartnerControls">11f6fb0b-52ce-4109-8f7f-521b2a62f692</TermId>
        </TermInfo>
      </Terms>
    </aa25a1a23adf4c92a153145de6afe324>
    <pe2555c81638466f9eb614edb9ecde52 xmlns="d064c82f-d8ab-4a3d-94af-5f326bc58d2d">
      <Terms xmlns="http://schemas.microsoft.com/office/infopath/2007/PartnerControls">
        <TermInfo xmlns="http://schemas.microsoft.com/office/infopath/2007/PartnerControls">
          <TermName xmlns="http://schemas.microsoft.com/office/infopath/2007/PartnerControls">Tool</TermName>
          <TermId xmlns="http://schemas.microsoft.com/office/infopath/2007/PartnerControls">583238a4-4987-4992-ad5d-7e2312842cf7</TermId>
        </TermInfo>
      </Terms>
    </pe2555c81638466f9eb614edb9ecde52>
    <IconOverlay xmlns="http://schemas.microsoft.com/sharepoint/v4" xsi:nil="true"/>
    <g7bcb40ba23249a78edca7d43a67c1c9 xmlns="d064c82f-d8ab-4a3d-94af-5f326bc58d2d">
      <Terms xmlns="http://schemas.microsoft.com/office/infopath/2007/PartnerControls">
        <TermInfo xmlns="http://schemas.microsoft.com/office/infopath/2007/PartnerControls">
          <TermName xmlns="http://schemas.microsoft.com/office/infopath/2007/PartnerControls">Communication</TermName>
          <TermId xmlns="http://schemas.microsoft.com/office/infopath/2007/PartnerControls">cd41d649-1e1a-44f5-b99b-946d42ce56d6</TermId>
        </TermInfo>
      </Terms>
    </g7bcb40ba23249a78edca7d43a67c1c9>
    <TaxCatchAll xmlns="d064c82f-d8ab-4a3d-94af-5f326bc58d2d">
      <Value>48</Value>
      <Value>31</Value>
      <Value>10</Value>
      <Value>40</Value>
      <Value>243</Value>
      <Value>515</Value>
    </TaxCatchAll>
    <Comments xmlns="http://schemas.microsoft.com/sharepoint/v3">Version for Beta Release</Comments>
    <_dlc_DocId xmlns="d064c82f-d8ab-4a3d-94af-5f326bc58d2d">WUYEHK7WH6H4-1653706823-824</_dlc_DocId>
    <_dlc_DocIdUrl xmlns="d064c82f-d8ab-4a3d-94af-5f326bc58d2d">
      <Url>https://dochub/div/australianbuildingcodesboard/businessfunctions/resourcelibrary/guidanceandtraining/_layouts/15/DocIdRedir.aspx?ID=WUYEHK7WH6H4-1653706823-824</Url>
      <Description>WUYEHK7WH6H4-1653706823-824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BD8C9492125574A91909CD263A904DF" ma:contentTypeVersion="15" ma:contentTypeDescription="Create a new document." ma:contentTypeScope="" ma:versionID="7ed8241c04d499e5baa0bbc3e99133ac">
  <xsd:schema xmlns:xsd="http://www.w3.org/2001/XMLSchema" xmlns:xs="http://www.w3.org/2001/XMLSchema" xmlns:p="http://schemas.microsoft.com/office/2006/metadata/properties" xmlns:ns1="http://schemas.microsoft.com/sharepoint/v3" xmlns:ns2="d064c82f-d8ab-4a3d-94af-5f326bc58d2d" xmlns:ns3="http://schemas.microsoft.com/sharepoint/v4" targetNamespace="http://schemas.microsoft.com/office/2006/metadata/properties" ma:root="true" ma:fieldsID="b6c2a4f6a6b8b89b3710d1df2b1122c3" ns1:_="" ns2:_="" ns3:_="">
    <xsd:import namespace="http://schemas.microsoft.com/sharepoint/v3"/>
    <xsd:import namespace="d064c82f-d8ab-4a3d-94af-5f326bc58d2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64c82f-d8ab-4a3d-94af-5f326bc58d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a7ee364-b2a1-4f0a-a954-3c284f763d4f}" ma:internalName="TaxCatchAll" ma:showField="CatchAllData" ma:web="d064c82f-d8ab-4a3d-94af-5f326bc58d2d">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49b4ab08-24a7-4c85-9f80-4fe3e469e22f"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element name="SharedWithUsers" ma:index="2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F8EC9-AA88-4B45-94C1-110CFA496E4E}">
  <ds:schemaRefs>
    <ds:schemaRef ds:uri="http://schemas.microsoft.com/sharepoint/events"/>
  </ds:schemaRefs>
</ds:datastoreItem>
</file>

<file path=customXml/itemProps2.xml><?xml version="1.0" encoding="utf-8"?>
<ds:datastoreItem xmlns:ds="http://schemas.openxmlformats.org/officeDocument/2006/customXml" ds:itemID="{3E4BBA17-283E-4333-86C0-3900FD40DE83}">
  <ds:schemaRefs>
    <ds:schemaRef ds:uri="http://schemas.microsoft.com/sharepoint/v3/contenttype/forms"/>
  </ds:schemaRefs>
</ds:datastoreItem>
</file>

<file path=customXml/itemProps3.xml><?xml version="1.0" encoding="utf-8"?>
<ds:datastoreItem xmlns:ds="http://schemas.openxmlformats.org/officeDocument/2006/customXml" ds:itemID="{095AFDF5-1E68-46BA-867F-A396BFC0D558}">
  <ds:schemaRefs>
    <ds:schemaRef ds:uri="http://purl.org/dc/elements/1.1/"/>
    <ds:schemaRef ds:uri="http://schemas.microsoft.com/sharepoint/v3"/>
    <ds:schemaRef ds:uri="d064c82f-d8ab-4a3d-94af-5f326bc58d2d"/>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sharepoint/v4"/>
    <ds:schemaRef ds:uri="http://purl.org/dc/dcmitype/"/>
    <ds:schemaRef ds:uri="http://purl.org/dc/terms/"/>
  </ds:schemaRefs>
</ds:datastoreItem>
</file>

<file path=customXml/itemProps4.xml><?xml version="1.0" encoding="utf-8"?>
<ds:datastoreItem xmlns:ds="http://schemas.openxmlformats.org/officeDocument/2006/customXml" ds:itemID="{38530F77-30C9-4655-BB72-B342D3BD1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64c82f-d8ab-4a3d-94af-5f326bc58d2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83</vt:i4>
      </vt:variant>
    </vt:vector>
  </HeadingPairs>
  <TitlesOfParts>
    <vt:vector size="90" baseType="lpstr">
      <vt:lpstr>Main Menu</vt:lpstr>
      <vt:lpstr>Help</vt:lpstr>
      <vt:lpstr>Class 1</vt:lpstr>
      <vt:lpstr>Adjustment factors</vt:lpstr>
      <vt:lpstr>Worksheet</vt:lpstr>
      <vt:lpstr>Screenshots</vt:lpstr>
      <vt:lpstr>2003 v 2007 Mods</vt:lpstr>
      <vt:lpstr>ADIPLbalc</vt:lpstr>
      <vt:lpstr>ADIPLClass1</vt:lpstr>
      <vt:lpstr>ADIPLClass10</vt:lpstr>
      <vt:lpstr>'Class 1'!ADIPLone</vt:lpstr>
      <vt:lpstr>'Class 1'!Adjfactors</vt:lpstr>
      <vt:lpstr>'Class 1'!Adjfactors1</vt:lpstr>
      <vt:lpstr>Afactors</vt:lpstr>
      <vt:lpstr>AfactorsTwo</vt:lpstr>
      <vt:lpstr>Allinputsokres</vt:lpstr>
      <vt:lpstr>AveADIPL</vt:lpstr>
      <vt:lpstr>Balconytrue</vt:lpstr>
      <vt:lpstr>Class_3_9a_9c_List</vt:lpstr>
      <vt:lpstr>Class_5_to_9b_List</vt:lpstr>
      <vt:lpstr>Class1</vt:lpstr>
      <vt:lpstr>Class10</vt:lpstr>
      <vt:lpstr>Class5</vt:lpstr>
      <vt:lpstr>ClassificationTwo</vt:lpstr>
      <vt:lpstr>'Class 1'!Criteria</vt:lpstr>
      <vt:lpstr>DescriptionTwo</vt:lpstr>
      <vt:lpstr>DynamicDim</vt:lpstr>
      <vt:lpstr>eNA</vt:lpstr>
      <vt:lpstr>FailBalcony</vt:lpstr>
      <vt:lpstr>FailClass1</vt:lpstr>
      <vt:lpstr>FailClass10</vt:lpstr>
      <vt:lpstr>FailRes</vt:lpstr>
      <vt:lpstr>firstinputsres</vt:lpstr>
      <vt:lpstr>FixedDim</vt:lpstr>
      <vt:lpstr>fNA</vt:lpstr>
      <vt:lpstr>GeneralAdviceTwo</vt:lpstr>
      <vt:lpstr>InputIssuesTwo</vt:lpstr>
      <vt:lpstr>jNA</vt:lpstr>
      <vt:lpstr>'Class 1'!LocationLimitsTwo</vt:lpstr>
      <vt:lpstr>ManualDime</vt:lpstr>
      <vt:lpstr>ManualDimf</vt:lpstr>
      <vt:lpstr>MIPDLbalc</vt:lpstr>
      <vt:lpstr>MIPDLClass1</vt:lpstr>
      <vt:lpstr>MIPDLClass10</vt:lpstr>
      <vt:lpstr>'Class 1'!MIPDLONE</vt:lpstr>
      <vt:lpstr>Onevalueinvalid</vt:lpstr>
      <vt:lpstr>PassBalcony</vt:lpstr>
      <vt:lpstr>PassClass1</vt:lpstr>
      <vt:lpstr>PassClass10</vt:lpstr>
      <vt:lpstr>PassRes</vt:lpstr>
      <vt:lpstr>Percent1</vt:lpstr>
      <vt:lpstr>Percent10</vt:lpstr>
      <vt:lpstr>PercentBalcony</vt:lpstr>
      <vt:lpstr>PrecisionTwo</vt:lpstr>
      <vt:lpstr>'Adjustment factors'!Print_Area</vt:lpstr>
      <vt:lpstr>'Class 1'!Print_Area</vt:lpstr>
      <vt:lpstr>Help!Print_Area</vt:lpstr>
      <vt:lpstr>'Main Menu'!Print_Area</vt:lpstr>
      <vt:lpstr>Screenshots!Print_Area</vt:lpstr>
      <vt:lpstr>Worksheet!Print_Area</vt:lpstr>
      <vt:lpstr>'Class 1'!Print_Titles</vt:lpstr>
      <vt:lpstr>ProgDim</vt:lpstr>
      <vt:lpstr>ResAdjustfactor01</vt:lpstr>
      <vt:lpstr>ResClassifications</vt:lpstr>
      <vt:lpstr>resdynamicdimmingk</vt:lpstr>
      <vt:lpstr>resFixeddimming</vt:lpstr>
      <vt:lpstr>RowsFilledTwo</vt:lpstr>
      <vt:lpstr>RowsPreferredTwo</vt:lpstr>
      <vt:lpstr>RowsShownTwo</vt:lpstr>
      <vt:lpstr>Screenshot1</vt:lpstr>
      <vt:lpstr>Screenshot2</vt:lpstr>
      <vt:lpstr>Screenshot3</vt:lpstr>
      <vt:lpstr>Screenshot4</vt:lpstr>
      <vt:lpstr>'Class 1'!ShowPass</vt:lpstr>
      <vt:lpstr>'Class 1'!SpacenameS1</vt:lpstr>
      <vt:lpstr>SpacesActiveTwo</vt:lpstr>
      <vt:lpstr>TopInputsOKTwo</vt:lpstr>
      <vt:lpstr>TotalAllowBalc</vt:lpstr>
      <vt:lpstr>TotalAllowClass1</vt:lpstr>
      <vt:lpstr>TotalAllowClass10</vt:lpstr>
      <vt:lpstr>TypeofSpaceres</vt:lpstr>
      <vt:lpstr>V2FixedDim</vt:lpstr>
      <vt:lpstr>V2LumenDepFactor</vt:lpstr>
      <vt:lpstr>V2ManualDim</vt:lpstr>
      <vt:lpstr>V2ProgDim</vt:lpstr>
      <vt:lpstr>ValidControlsAll</vt:lpstr>
      <vt:lpstr>ValidControlsPart</vt:lpstr>
      <vt:lpstr>ValidControlsRes</vt:lpstr>
      <vt:lpstr>ValidControlsResParts</vt:lpstr>
      <vt:lpstr>'Class 1'!VisibleFailures</vt:lpstr>
    </vt:vector>
  </TitlesOfParts>
  <Company>ABCB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ABCB Lighting Calculator</dc:title>
  <dc:subject>Lighting</dc:subject>
  <dc:creator>ABCB</dc:creator>
  <cp:lastModifiedBy>Libby Beech</cp:lastModifiedBy>
  <cp:lastPrinted>2019-07-05T04:28:24Z</cp:lastPrinted>
  <dcterms:created xsi:type="dcterms:W3CDTF">2008-03-25T02:44:47Z</dcterms:created>
  <dcterms:modified xsi:type="dcterms:W3CDTF">2020-04-29T00:43:52Z</dcterms:modified>
  <cp:category>Calculators and Tools</cp:category>
  <cp:contentStatus>Current as at 2014</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0x0101004BD8C9492125574A91909CD263A904DF</vt:lpwstr>
  </property>
  <property fmtid="{D5CDD505-2E9C-101B-9397-08002B2CF9AE}" pid="3" name="_dlc_DocIdItemGuid">
    <vt:lpwstr>c067779f-a47a-427b-9787-171c7f155aea</vt:lpwstr>
  </property>
  <property fmtid="{D5CDD505-2E9C-101B-9397-08002B2CF9AE}" pid="4" name="DocHub_Year">
    <vt:lpwstr>515;#2018-19|fdef151b-f514-4f40-b4c7-d447508f4095</vt:lpwstr>
  </property>
  <property fmtid="{D5CDD505-2E9C-101B-9397-08002B2CF9AE}" pid="5" name="DocHub_DocumentType">
    <vt:lpwstr>40;#Tool|583238a4-4987-4992-ad5d-7e2312842cf7</vt:lpwstr>
  </property>
  <property fmtid="{D5CDD505-2E9C-101B-9397-08002B2CF9AE}" pid="6" name="DocHub_SecurityClassification">
    <vt:lpwstr>48;#For Official Use Only|11f6fb0b-52ce-4109-8f7f-521b2a62f692</vt:lpwstr>
  </property>
  <property fmtid="{D5CDD505-2E9C-101B-9397-08002B2CF9AE}" pid="7" name="_CopySource">
    <vt:lpwstr/>
  </property>
  <property fmtid="{D5CDD505-2E9C-101B-9397-08002B2CF9AE}" pid="8" name="DocHub_Keywords">
    <vt:lpwstr>31;#Energy efficiency|fcd68716-df09-4a75-86b3-e9a20333e4a3;#243;#calculator|6aa63241-acf8-4e37-b4c6-b14d6d7f425a</vt:lpwstr>
  </property>
  <property fmtid="{D5CDD505-2E9C-101B-9397-08002B2CF9AE}" pid="9" name="DocHub_WorkActivity">
    <vt:lpwstr>10;#Communication|cd41d649-1e1a-44f5-b99b-946d42ce56d6</vt:lpwstr>
  </property>
</Properties>
</file>