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prod.protected.ind\user\User09\ms7627\Downloads\"/>
    </mc:Choice>
  </mc:AlternateContent>
  <workbookProtection workbookAlgorithmName="SHA-512" workbookHashValue="fQ2sQBqPO7PaJ7EP/gh620+UKFh7gAu5Sxe6m6wdMALjHB8Of0Ml9CTLmC2biSJMAq1acoQPlMsyZAL1f8FbUw==" workbookSaltValue="kb6ojX7M25iakcFxfs3APQ==" workbookSpinCount="100000" lockStructure="1"/>
  <bookViews>
    <workbookView xWindow="0" yWindow="1200" windowWidth="15450" windowHeight="6975" tabRatio="869"/>
  </bookViews>
  <sheets>
    <sheet name="Sanitary Facilities Calculator" sheetId="1" r:id="rId1"/>
    <sheet name="Help Guide" sheetId="5" r:id="rId2"/>
    <sheet name="Worksheet" sheetId="4" r:id="rId3"/>
    <sheet name="Tables" sheetId="2" state="hidden" r:id="rId4"/>
  </sheets>
  <definedNames>
    <definedName name="ClassRange">Tables!$A$10:$A$24</definedName>
    <definedName name="data">'Sanitary Facilities Calculator'!#REF!</definedName>
    <definedName name="_xlnm.Print_Area" localSheetId="1">'Help Guide'!$A$1:$B$171</definedName>
    <definedName name="_xlnm.Print_Area" localSheetId="0">'Sanitary Facilities Calculator'!$B$2:$P$47</definedName>
    <definedName name="Range">Tables!$A$26:$E$152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32" i="1" l="1"/>
  <c r="D31" i="1"/>
  <c r="D30" i="1" l="1"/>
  <c r="D33" i="1" l="1"/>
  <c r="D34" i="1"/>
  <c r="D16" i="1"/>
  <c r="I184" i="2" l="1"/>
  <c r="I185" i="2"/>
  <c r="I186" i="2"/>
  <c r="I187" i="2"/>
  <c r="I188" i="2"/>
  <c r="I189" i="2"/>
  <c r="I190" i="2"/>
  <c r="I191" i="2"/>
  <c r="I192" i="2"/>
  <c r="I193" i="2"/>
  <c r="I194" i="2"/>
  <c r="I195" i="2"/>
  <c r="I196" i="2"/>
  <c r="I197" i="2"/>
  <c r="I198" i="2"/>
  <c r="D20" i="1" l="1"/>
  <c r="D19" i="1"/>
  <c r="D17" i="1"/>
  <c r="D14" i="1"/>
  <c r="D13" i="1"/>
  <c r="G12" i="2"/>
  <c r="K108" i="2" s="1"/>
  <c r="W44" i="2" l="1"/>
  <c r="AA44" i="2"/>
  <c r="K12" i="1"/>
  <c r="M12" i="1"/>
  <c r="L12" i="1" l="1"/>
  <c r="O12" i="1"/>
  <c r="N12" i="1"/>
  <c r="G15" i="2" l="1"/>
  <c r="AA139" i="2" s="1"/>
  <c r="G14" i="2"/>
  <c r="AA102" i="2" l="1"/>
  <c r="AA148" i="2"/>
  <c r="H147" i="2"/>
  <c r="AA147" i="2"/>
  <c r="H148" i="2"/>
  <c r="AA101" i="2"/>
  <c r="H102" i="2"/>
  <c r="H101" i="2"/>
  <c r="AA141" i="2"/>
  <c r="K141" i="2"/>
  <c r="N140" i="2"/>
  <c r="H140" i="2"/>
  <c r="N141" i="2"/>
  <c r="H141" i="2"/>
  <c r="K140" i="2"/>
  <c r="AA140" i="2"/>
  <c r="H129" i="2"/>
  <c r="AA118" i="2"/>
  <c r="Q118" i="2"/>
  <c r="K118" i="2"/>
  <c r="T118" i="2"/>
  <c r="N118" i="2"/>
  <c r="H118" i="2"/>
  <c r="AA59" i="2"/>
  <c r="AA60" i="2"/>
  <c r="AA38" i="2"/>
  <c r="K38" i="2"/>
  <c r="H38" i="2"/>
  <c r="N128" i="2"/>
  <c r="AA129" i="2"/>
  <c r="N119" i="2"/>
  <c r="H128" i="2"/>
  <c r="AA128" i="2"/>
  <c r="K119" i="2"/>
  <c r="AA119" i="2"/>
  <c r="K128" i="2"/>
  <c r="Q128" i="2"/>
  <c r="G11" i="2"/>
  <c r="G8" i="2"/>
  <c r="N123" i="2" l="1"/>
  <c r="N114" i="2"/>
  <c r="N50" i="2"/>
  <c r="Q123" i="2"/>
  <c r="AA70" i="2"/>
  <c r="N125" i="2"/>
  <c r="H70" i="2"/>
  <c r="H71" i="2"/>
  <c r="E148" i="2"/>
  <c r="AA66" i="2"/>
  <c r="AA67" i="2"/>
  <c r="H66" i="2"/>
  <c r="H67" i="2"/>
  <c r="H165" i="2"/>
  <c r="AA164" i="2"/>
  <c r="H164" i="2"/>
  <c r="AA166" i="2"/>
  <c r="H166" i="2"/>
  <c r="AA165" i="2"/>
  <c r="K165" i="2"/>
  <c r="AA168" i="2"/>
  <c r="H168" i="2"/>
  <c r="AA167" i="2"/>
  <c r="H167" i="2"/>
  <c r="AA169" i="2"/>
  <c r="H169" i="2"/>
  <c r="E102" i="2"/>
  <c r="H179" i="2"/>
  <c r="AA176" i="2"/>
  <c r="AA179" i="2"/>
  <c r="H176" i="2"/>
  <c r="E101" i="2"/>
  <c r="E147" i="2"/>
  <c r="AA177" i="2"/>
  <c r="H177" i="2"/>
  <c r="AA178" i="2"/>
  <c r="H178" i="2"/>
  <c r="AA175" i="2"/>
  <c r="K174" i="2"/>
  <c r="H173" i="2"/>
  <c r="H175" i="2"/>
  <c r="AA174" i="2"/>
  <c r="H174" i="2"/>
  <c r="AA173" i="2"/>
  <c r="H160" i="2"/>
  <c r="AA159" i="2"/>
  <c r="AA161" i="2"/>
  <c r="H159" i="2"/>
  <c r="H161" i="2"/>
  <c r="AA160" i="2"/>
  <c r="AA158" i="2"/>
  <c r="H158" i="2"/>
  <c r="H157" i="2"/>
  <c r="AA156" i="2"/>
  <c r="H156" i="2"/>
  <c r="AA155" i="2"/>
  <c r="K156" i="2"/>
  <c r="H155" i="2"/>
  <c r="AA157" i="2"/>
  <c r="K84" i="2"/>
  <c r="AA84" i="2"/>
  <c r="K96" i="2"/>
  <c r="H77" i="2"/>
  <c r="K121" i="2"/>
  <c r="AA61" i="2"/>
  <c r="AA55" i="2"/>
  <c r="H55" i="2"/>
  <c r="K77" i="2"/>
  <c r="AA121" i="2"/>
  <c r="K62" i="2"/>
  <c r="K35" i="2"/>
  <c r="K55" i="2"/>
  <c r="AA123" i="2"/>
  <c r="AA51" i="2"/>
  <c r="AA50" i="2"/>
  <c r="AA49" i="2"/>
  <c r="K51" i="2"/>
  <c r="T50" i="2"/>
  <c r="K49" i="2"/>
  <c r="K30" i="2"/>
  <c r="H30" i="2"/>
  <c r="AA131" i="2"/>
  <c r="K131" i="2"/>
  <c r="AA130" i="2"/>
  <c r="H120" i="2"/>
  <c r="AA144" i="2"/>
  <c r="K143" i="2"/>
  <c r="AA142" i="2"/>
  <c r="AA132" i="2"/>
  <c r="H131" i="2"/>
  <c r="H130" i="2"/>
  <c r="AA120" i="2"/>
  <c r="AA143" i="2"/>
  <c r="H143" i="2"/>
  <c r="H142" i="2"/>
  <c r="AA151" i="2"/>
  <c r="AA152" i="2"/>
  <c r="AA150" i="2"/>
  <c r="AA135" i="2"/>
  <c r="AA134" i="2"/>
  <c r="AA133" i="2"/>
  <c r="AA115" i="2"/>
  <c r="AA114" i="2"/>
  <c r="Q114" i="2"/>
  <c r="H114" i="2"/>
  <c r="H113" i="2"/>
  <c r="H105" i="2"/>
  <c r="H104" i="2"/>
  <c r="K103" i="2"/>
  <c r="H135" i="2"/>
  <c r="H134" i="2"/>
  <c r="K133" i="2"/>
  <c r="K115" i="2"/>
  <c r="T114" i="2"/>
  <c r="K114" i="2"/>
  <c r="AA113" i="2"/>
  <c r="AA105" i="2"/>
  <c r="AA104" i="2"/>
  <c r="AA103" i="2"/>
  <c r="H103" i="2"/>
  <c r="AA41" i="2"/>
  <c r="K50" i="2"/>
  <c r="H39" i="2"/>
  <c r="AA39" i="2"/>
  <c r="AA64" i="2"/>
  <c r="AA65" i="2"/>
  <c r="AA87" i="2"/>
  <c r="AA40" i="2"/>
  <c r="Q50" i="2"/>
  <c r="H65" i="2"/>
  <c r="AA88" i="2"/>
  <c r="AA112" i="2"/>
  <c r="H111" i="2"/>
  <c r="AA97" i="2"/>
  <c r="H96" i="2"/>
  <c r="AA111" i="2"/>
  <c r="K111" i="2"/>
  <c r="H110" i="2"/>
  <c r="AA96" i="2"/>
  <c r="AA95" i="2"/>
  <c r="AA30" i="2"/>
  <c r="K47" i="2"/>
  <c r="H46" i="2"/>
  <c r="AA48" i="2"/>
  <c r="AA47" i="2"/>
  <c r="AA56" i="2"/>
  <c r="H61" i="2"/>
  <c r="H63" i="2"/>
  <c r="H78" i="2"/>
  <c r="AA29" i="2"/>
  <c r="H48" i="2"/>
  <c r="AA46" i="2"/>
  <c r="H62" i="2"/>
  <c r="AA62" i="2"/>
  <c r="AA63" i="2"/>
  <c r="AA77" i="2"/>
  <c r="AA78" i="2"/>
  <c r="G9" i="2"/>
  <c r="E66" i="2" l="1"/>
  <c r="E168" i="2"/>
  <c r="E67" i="2"/>
  <c r="E164" i="2"/>
  <c r="H162" i="2"/>
  <c r="AA163" i="2"/>
  <c r="H163" i="2"/>
  <c r="AA162" i="2"/>
  <c r="E169" i="2"/>
  <c r="E166" i="2"/>
  <c r="E176" i="2"/>
  <c r="E167" i="2"/>
  <c r="E165" i="2"/>
  <c r="E179" i="2"/>
  <c r="E159" i="2"/>
  <c r="E155" i="2"/>
  <c r="E161" i="2"/>
  <c r="E177" i="2"/>
  <c r="E178" i="2"/>
  <c r="H172" i="2"/>
  <c r="AA171" i="2"/>
  <c r="AA172" i="2"/>
  <c r="H171" i="2"/>
  <c r="E173" i="2"/>
  <c r="E174" i="2"/>
  <c r="E175" i="2"/>
  <c r="AA153" i="2"/>
  <c r="H154" i="2"/>
  <c r="H153" i="2"/>
  <c r="AA154" i="2"/>
  <c r="E158" i="2"/>
  <c r="E156" i="2"/>
  <c r="E157" i="2"/>
  <c r="E160" i="2"/>
  <c r="AA32" i="2"/>
  <c r="H32" i="2"/>
  <c r="AA127" i="2"/>
  <c r="AA117" i="2"/>
  <c r="H116" i="2"/>
  <c r="AA107" i="2"/>
  <c r="H107" i="2"/>
  <c r="H127" i="2"/>
  <c r="H126" i="2"/>
  <c r="H117" i="2"/>
  <c r="AA116" i="2"/>
  <c r="AA106" i="2"/>
  <c r="H106" i="2"/>
  <c r="AA90" i="2"/>
  <c r="H89" i="2"/>
  <c r="AA126" i="2"/>
  <c r="AA89" i="2"/>
  <c r="AA79" i="2"/>
  <c r="AA42" i="2"/>
  <c r="AA28" i="2"/>
  <c r="AA80" i="2"/>
  <c r="AA43" i="2"/>
  <c r="H42" i="2"/>
  <c r="AA27" i="2"/>
  <c r="F20" i="1"/>
  <c r="F17" i="1"/>
  <c r="F14" i="1"/>
  <c r="E163" i="2" l="1"/>
  <c r="E153" i="2"/>
  <c r="E162" i="2"/>
  <c r="E171" i="2"/>
  <c r="E172" i="2"/>
  <c r="E154" i="2"/>
  <c r="AA75" i="2"/>
  <c r="AA74" i="2"/>
  <c r="AA137" i="2" l="1"/>
  <c r="AA136" i="2"/>
  <c r="AA58" i="2"/>
  <c r="AA57" i="2"/>
  <c r="AA53" i="2"/>
  <c r="AA52" i="2"/>
  <c r="AA33" i="2"/>
  <c r="H137" i="2"/>
  <c r="H136" i="2"/>
  <c r="H90" i="2"/>
  <c r="H80" i="2"/>
  <c r="H79" i="2"/>
  <c r="H75" i="2"/>
  <c r="E75" i="2" s="1"/>
  <c r="H74" i="2"/>
  <c r="E74" i="2" s="1"/>
  <c r="H58" i="2"/>
  <c r="H57" i="2"/>
  <c r="H53" i="2"/>
  <c r="H52" i="2"/>
  <c r="H43" i="2"/>
  <c r="H33" i="2"/>
  <c r="H28" i="2"/>
  <c r="E28" i="2" s="1"/>
  <c r="H27" i="2"/>
  <c r="E27" i="2" s="1"/>
  <c r="E33" i="2" l="1"/>
  <c r="E43" i="2"/>
  <c r="E53" i="2"/>
  <c r="E58" i="2"/>
  <c r="E80" i="2"/>
  <c r="E90" i="2"/>
  <c r="E107" i="2"/>
  <c r="E117" i="2"/>
  <c r="E127" i="2"/>
  <c r="E137" i="2"/>
  <c r="E42" i="2"/>
  <c r="E52" i="2"/>
  <c r="E57" i="2"/>
  <c r="E79" i="2"/>
  <c r="E89" i="2"/>
  <c r="E106" i="2"/>
  <c r="E116" i="2"/>
  <c r="E126" i="2"/>
  <c r="E136" i="2"/>
  <c r="E32" i="2"/>
  <c r="G3" i="2"/>
  <c r="AA138" i="2" l="1"/>
  <c r="H91" i="2"/>
  <c r="AA92" i="2"/>
  <c r="H139" i="2"/>
  <c r="H92" i="2"/>
  <c r="AA91" i="2"/>
  <c r="AA100" i="2"/>
  <c r="AA99" i="2"/>
  <c r="H98" i="2"/>
  <c r="AA149" i="2"/>
  <c r="AA145" i="2"/>
  <c r="H100" i="2"/>
  <c r="AA98" i="2"/>
  <c r="AA146" i="2"/>
  <c r="H145" i="2"/>
  <c r="H40" i="2"/>
  <c r="E40" i="2" s="1"/>
  <c r="E39" i="2"/>
  <c r="H41" i="2"/>
  <c r="AA122" i="2"/>
  <c r="AA76" i="2"/>
  <c r="AA54" i="2"/>
  <c r="AA34" i="2"/>
  <c r="AA31" i="2"/>
  <c r="H47" i="2"/>
  <c r="H121" i="2"/>
  <c r="H144" i="2"/>
  <c r="H132" i="2"/>
  <c r="H95" i="2"/>
  <c r="E95" i="2" s="1"/>
  <c r="H83" i="2"/>
  <c r="H76" i="2"/>
  <c r="H54" i="2"/>
  <c r="H34" i="2"/>
  <c r="AA110" i="2"/>
  <c r="AA85" i="2"/>
  <c r="AA83" i="2"/>
  <c r="AA35" i="2"/>
  <c r="AA36" i="2"/>
  <c r="H35" i="2"/>
  <c r="H84" i="2"/>
  <c r="H122" i="2"/>
  <c r="H112" i="2"/>
  <c r="H97" i="2"/>
  <c r="E97" i="2" s="1"/>
  <c r="H85" i="2"/>
  <c r="H56" i="2"/>
  <c r="E56" i="2" s="1"/>
  <c r="H36" i="2"/>
  <c r="H31" i="2"/>
  <c r="H29" i="2"/>
  <c r="E29" i="2" s="1"/>
  <c r="H138" i="2"/>
  <c r="H146" i="2"/>
  <c r="H149" i="2"/>
  <c r="H99" i="2"/>
  <c r="AA124" i="2"/>
  <c r="AA71" i="2"/>
  <c r="AA125" i="2"/>
  <c r="AA86" i="2"/>
  <c r="K150" i="2"/>
  <c r="K125" i="2"/>
  <c r="H152" i="2"/>
  <c r="H150" i="2"/>
  <c r="K124" i="2"/>
  <c r="K123" i="2"/>
  <c r="H151" i="2"/>
  <c r="H133" i="2"/>
  <c r="H125" i="2"/>
  <c r="H123" i="2"/>
  <c r="H115" i="2"/>
  <c r="E113" i="2"/>
  <c r="H88" i="2"/>
  <c r="H86" i="2"/>
  <c r="H64" i="2"/>
  <c r="E64" i="2" s="1"/>
  <c r="H51" i="2"/>
  <c r="H49" i="2"/>
  <c r="E49" i="2" s="1"/>
  <c r="H124" i="2"/>
  <c r="E103" i="2"/>
  <c r="H87" i="2"/>
  <c r="H50" i="2"/>
  <c r="B20" i="1"/>
  <c r="B19" i="1"/>
  <c r="B17" i="1"/>
  <c r="B16" i="1"/>
  <c r="E139" i="2" l="1"/>
  <c r="E54" i="2"/>
  <c r="E92" i="2"/>
  <c r="E36" i="2"/>
  <c r="E112" i="2"/>
  <c r="E144" i="2"/>
  <c r="E151" i="2"/>
  <c r="H14" i="2"/>
  <c r="H15" i="2"/>
  <c r="E41" i="2"/>
  <c r="E50" i="2"/>
  <c r="E88" i="2"/>
  <c r="E65" i="2"/>
  <c r="E150" i="2"/>
  <c r="E99" i="2"/>
  <c r="E149" i="2"/>
  <c r="E138" i="2"/>
  <c r="E46" i="2"/>
  <c r="E78" i="2"/>
  <c r="E122" i="2"/>
  <c r="E142" i="2"/>
  <c r="E111" i="2"/>
  <c r="E35" i="2"/>
  <c r="E30" i="2"/>
  <c r="E34" i="2"/>
  <c r="E63" i="2"/>
  <c r="E83" i="2"/>
  <c r="E130" i="2"/>
  <c r="E124" i="2"/>
  <c r="E105" i="2"/>
  <c r="E152" i="2"/>
  <c r="E31" i="2"/>
  <c r="E48" i="2"/>
  <c r="E84" i="2"/>
  <c r="E76" i="2"/>
  <c r="E120" i="2"/>
  <c r="E98" i="2"/>
  <c r="E145" i="2"/>
  <c r="E146" i="2"/>
  <c r="E121" i="2"/>
  <c r="E110" i="2"/>
  <c r="E61" i="2"/>
  <c r="E85" i="2"/>
  <c r="E55" i="2"/>
  <c r="E96" i="2"/>
  <c r="E143" i="2"/>
  <c r="E132" i="2"/>
  <c r="E77" i="2"/>
  <c r="E62" i="2"/>
  <c r="E47" i="2"/>
  <c r="E131" i="2"/>
  <c r="E91" i="2"/>
  <c r="E100" i="2"/>
  <c r="E87" i="2"/>
  <c r="E86" i="2"/>
  <c r="E104" i="2"/>
  <c r="E115" i="2"/>
  <c r="E134" i="2"/>
  <c r="E51" i="2"/>
  <c r="E135" i="2"/>
  <c r="H11" i="2"/>
  <c r="H12" i="2"/>
  <c r="H8" i="2"/>
  <c r="M8" i="2" l="1" a="1"/>
  <c r="M8" i="2" s="1"/>
  <c r="H13" i="1" s="1"/>
  <c r="N8" i="2" a="1"/>
  <c r="N8" i="2" s="1"/>
  <c r="I13" i="1" s="1"/>
  <c r="J8" i="2" a="1"/>
  <c r="J8" i="2" s="1"/>
  <c r="E13" i="1" s="1"/>
  <c r="L8" i="2" a="1"/>
  <c r="L8" i="2" s="1"/>
  <c r="G13" i="1" s="1"/>
  <c r="K8" i="2" a="1"/>
  <c r="K8" i="2" s="1"/>
  <c r="F13" i="1" s="1"/>
  <c r="F12" i="2"/>
  <c r="F11" i="2"/>
  <c r="N11" i="2" s="1" a="1"/>
  <c r="N11" i="2" s="1"/>
  <c r="F15" i="2"/>
  <c r="L15" i="2" s="1" a="1"/>
  <c r="L15" i="2" s="1"/>
  <c r="G20" i="1" s="1"/>
  <c r="F14" i="2"/>
  <c r="K14" i="2" s="1" a="1"/>
  <c r="K14" i="2" s="1"/>
  <c r="F19" i="1" s="1"/>
  <c r="H9" i="2"/>
  <c r="M12" i="2" l="1" a="1"/>
  <c r="M12" i="2" s="1"/>
  <c r="N12" i="2" a="1"/>
  <c r="N12" i="2" s="1"/>
  <c r="I17" i="1" s="1"/>
  <c r="M11" i="2" a="1"/>
  <c r="M11" i="2" s="1"/>
  <c r="H16" i="1" s="1"/>
  <c r="I16" i="1"/>
  <c r="M14" i="2" a="1"/>
  <c r="M14" i="2" s="1"/>
  <c r="H19" i="1" s="1"/>
  <c r="N15" i="2" a="1"/>
  <c r="N15" i="2" s="1"/>
  <c r="I20" i="1" s="1"/>
  <c r="N14" i="2" a="1"/>
  <c r="N14" i="2" s="1"/>
  <c r="I19" i="1" s="1"/>
  <c r="M15" i="2" a="1"/>
  <c r="M15" i="2" s="1"/>
  <c r="H20" i="1" s="1"/>
  <c r="M9" i="2" a="1"/>
  <c r="M9" i="2" s="1"/>
  <c r="H14" i="1" s="1"/>
  <c r="N9" i="2" a="1"/>
  <c r="N9" i="2" s="1"/>
  <c r="I14" i="1" s="1"/>
  <c r="J9" i="2" a="1"/>
  <c r="J9" i="2" s="1"/>
  <c r="E14" i="1" s="1"/>
  <c r="L9" i="2" a="1"/>
  <c r="L9" i="2" s="1"/>
  <c r="G14" i="1" s="1"/>
  <c r="J14" i="2" a="1"/>
  <c r="J14" i="2" s="1"/>
  <c r="E19" i="1" s="1"/>
  <c r="J15" i="2" a="1"/>
  <c r="J15" i="2" s="1"/>
  <c r="E20" i="1" s="1"/>
  <c r="L14" i="2" a="1"/>
  <c r="L14" i="2" s="1"/>
  <c r="G19" i="1" s="1"/>
  <c r="W108" i="2"/>
  <c r="T108" i="2"/>
  <c r="T44" i="2"/>
  <c r="Q108" i="2"/>
  <c r="N108" i="2"/>
  <c r="K37" i="2"/>
  <c r="Q44" i="2"/>
  <c r="AA109" i="2"/>
  <c r="N94" i="2"/>
  <c r="AA81" i="2"/>
  <c r="AA94" i="2"/>
  <c r="K93" i="2"/>
  <c r="K94" i="2"/>
  <c r="AA82" i="2"/>
  <c r="AA45" i="2"/>
  <c r="AA93" i="2"/>
  <c r="K44" i="2"/>
  <c r="K109" i="2"/>
  <c r="K45" i="2"/>
  <c r="AA37" i="2"/>
  <c r="AA108" i="2"/>
  <c r="N44" i="2"/>
  <c r="E129" i="2"/>
  <c r="H82" i="2"/>
  <c r="H45" i="2"/>
  <c r="H81" i="2"/>
  <c r="E70" i="2"/>
  <c r="J11" i="2" s="1" a="1"/>
  <c r="J11" i="2" s="1"/>
  <c r="E71" i="2"/>
  <c r="E133" i="2"/>
  <c r="H108" i="2"/>
  <c r="H109" i="2"/>
  <c r="H60" i="2"/>
  <c r="H59" i="2"/>
  <c r="E123" i="2"/>
  <c r="H119" i="2"/>
  <c r="E119" i="2" s="1"/>
  <c r="H37" i="2"/>
  <c r="H44" i="2"/>
  <c r="E125" i="2"/>
  <c r="E114" i="2"/>
  <c r="K11" i="2" s="1" a="1"/>
  <c r="K11" i="2" s="1"/>
  <c r="E128" i="2"/>
  <c r="H94" i="2"/>
  <c r="H93" i="2"/>
  <c r="L11" i="2" l="1" a="1"/>
  <c r="L11" i="2" s="1"/>
  <c r="G16" i="1" s="1"/>
  <c r="F16" i="1"/>
  <c r="E38" i="2"/>
  <c r="E94" i="2"/>
  <c r="E16" i="1"/>
  <c r="E59" i="2"/>
  <c r="E82" i="2"/>
  <c r="E37" i="2"/>
  <c r="E118" i="2"/>
  <c r="E60" i="2"/>
  <c r="E108" i="2"/>
  <c r="E45" i="2"/>
  <c r="E93" i="2"/>
  <c r="E140" i="2"/>
  <c r="E44" i="2"/>
  <c r="E141" i="2"/>
  <c r="E109" i="2"/>
  <c r="E81" i="2"/>
  <c r="J12" i="2" l="1" a="1"/>
  <c r="J12" i="2" s="1"/>
  <c r="E17" i="1" s="1"/>
  <c r="H17" i="1"/>
  <c r="L12" i="2" a="1"/>
  <c r="L12" i="2" s="1"/>
  <c r="G17" i="1" s="1"/>
</calcChain>
</file>

<file path=xl/comments1.xml><?xml version="1.0" encoding="utf-8"?>
<comments xmlns="http://schemas.openxmlformats.org/spreadsheetml/2006/main">
  <authors>
    <author>Melville, Philip</author>
  </authors>
  <commentList>
    <comment ref="C5" authorId="0" shapeId="0">
      <text>
        <r>
          <rPr>
            <sz val="10"/>
            <color indexed="81"/>
            <rFont val="Arial"/>
            <family val="2"/>
          </rPr>
          <t>Enter unit and/or street number and street name in adjacent cell on right.</t>
        </r>
      </text>
    </comment>
    <comment ref="C6" authorId="0" shapeId="0">
      <text>
        <r>
          <rPr>
            <sz val="10"/>
            <color indexed="81"/>
            <rFont val="Arial"/>
            <family val="2"/>
          </rPr>
          <t>Enter suburb, city, state/territory and postcode details in adjacent cell on right.</t>
        </r>
        <r>
          <rPr>
            <sz val="9"/>
            <color indexed="81"/>
            <rFont val="Tahoma"/>
            <family val="2"/>
          </rPr>
          <t xml:space="preserve">
</t>
        </r>
      </text>
    </comment>
    <comment ref="B8" authorId="0" shapeId="0">
      <text>
        <r>
          <rPr>
            <sz val="10"/>
            <color indexed="81"/>
            <rFont val="Arial"/>
            <family val="2"/>
          </rPr>
          <t xml:space="preserve">Refer to </t>
        </r>
        <r>
          <rPr>
            <b/>
            <sz val="10"/>
            <color indexed="81"/>
            <rFont val="Arial"/>
            <family val="2"/>
          </rPr>
          <t>NCC 2019 Vol. 1, Part A6</t>
        </r>
        <r>
          <rPr>
            <sz val="10"/>
            <color indexed="81"/>
            <rFont val="Arial"/>
            <family val="2"/>
          </rPr>
          <t xml:space="preserve"> for full details on classification of buildings and structures.</t>
        </r>
      </text>
    </comment>
    <comment ref="C8" authorId="0" shapeId="0">
      <text>
        <r>
          <rPr>
            <sz val="10"/>
            <color indexed="81"/>
            <rFont val="Arial"/>
            <family val="2"/>
          </rPr>
          <t xml:space="preserve">Select the classification that applies to your building/structure as per </t>
        </r>
        <r>
          <rPr>
            <b/>
            <sz val="10"/>
            <color indexed="81"/>
            <rFont val="Arial"/>
            <family val="2"/>
          </rPr>
          <t>NCC Vol. One, Part A6.</t>
        </r>
        <r>
          <rPr>
            <sz val="9"/>
            <color indexed="81"/>
            <rFont val="Tahoma"/>
            <family val="2"/>
          </rPr>
          <t xml:space="preserve">
</t>
        </r>
      </text>
    </comment>
    <comment ref="E11" authorId="0" shapeId="0">
      <text>
        <r>
          <rPr>
            <sz val="10"/>
            <color indexed="81"/>
            <rFont val="Arial"/>
            <family val="2"/>
          </rPr>
          <t xml:space="preserve">The cells below will show you the required number of sanitary facilities for your selected classification. These numbers are calculated as per </t>
        </r>
        <r>
          <rPr>
            <b/>
            <sz val="10"/>
            <color indexed="81"/>
            <rFont val="Arial"/>
            <family val="2"/>
          </rPr>
          <t xml:space="preserve">NCC Vol. One, Table F2.3 </t>
        </r>
        <r>
          <rPr>
            <sz val="10"/>
            <color indexed="81"/>
            <rFont val="Arial"/>
            <family val="2"/>
          </rPr>
          <t xml:space="preserve">requirements. </t>
        </r>
        <r>
          <rPr>
            <sz val="9"/>
            <color indexed="81"/>
            <rFont val="Tahoma"/>
            <family val="2"/>
          </rPr>
          <t xml:space="preserve">
</t>
        </r>
      </text>
    </comment>
    <comment ref="B12" authorId="0" shapeId="0">
      <text>
        <r>
          <rPr>
            <sz val="10"/>
            <color indexed="81"/>
            <rFont val="Arial"/>
            <family val="2"/>
          </rPr>
          <t>Gender may be specified depending on classification of building. Refer to help guide for further details.</t>
        </r>
        <r>
          <rPr>
            <sz val="9"/>
            <color indexed="81"/>
            <rFont val="Tahoma"/>
            <family val="2"/>
          </rPr>
          <t xml:space="preserve">
</t>
        </r>
      </text>
    </comment>
    <comment ref="C12" authorId="0" shapeId="0">
      <text>
        <r>
          <rPr>
            <sz val="10"/>
            <color indexed="81"/>
            <rFont val="Arial"/>
            <family val="2"/>
          </rPr>
          <t>Enter desired number of occupants for your selected classification below in the gold cells as required.</t>
        </r>
      </text>
    </comment>
    <comment ref="D12" authorId="0" shapeId="0">
      <text>
        <r>
          <rPr>
            <sz val="10"/>
            <color indexed="81"/>
            <rFont val="Arial"/>
            <family val="2"/>
          </rPr>
          <t>The selected classification will show you the applicable user groups below. Where "NA" is shown, you do not need to enter a value in the adjacent gold design occupancy cell.</t>
        </r>
        <r>
          <rPr>
            <sz val="9"/>
            <color indexed="81"/>
            <rFont val="Tahoma"/>
            <family val="2"/>
          </rPr>
          <t xml:space="preserve">
</t>
        </r>
      </text>
    </comment>
    <comment ref="B28" authorId="0" shapeId="0">
      <text>
        <r>
          <rPr>
            <sz val="10"/>
            <color indexed="81"/>
            <rFont val="Arial"/>
            <family val="2"/>
          </rPr>
          <t>Enter number of levels in your building in gold cell adjacent on right.</t>
        </r>
        <r>
          <rPr>
            <b/>
            <sz val="9"/>
            <color indexed="81"/>
            <rFont val="Tahoma"/>
            <family val="2"/>
          </rPr>
          <t xml:space="preserve">
</t>
        </r>
      </text>
    </comment>
    <comment ref="B29" authorId="0" shapeId="0">
      <text>
        <r>
          <rPr>
            <sz val="10"/>
            <color indexed="81"/>
            <rFont val="Arial"/>
            <family val="2"/>
          </rPr>
          <t>Enter number of banks of toilets in your building in gold cell adjacent on right.</t>
        </r>
        <r>
          <rPr>
            <sz val="9"/>
            <color indexed="81"/>
            <rFont val="Arial"/>
            <family val="2"/>
          </rPr>
          <t xml:space="preserve">
</t>
        </r>
      </text>
    </comment>
  </commentList>
</comments>
</file>

<file path=xl/sharedStrings.xml><?xml version="1.0" encoding="utf-8"?>
<sst xmlns="http://schemas.openxmlformats.org/spreadsheetml/2006/main" count="981" uniqueCount="201">
  <si>
    <t>Building address</t>
  </si>
  <si>
    <t>Address line 1</t>
  </si>
  <si>
    <t>Address line 2</t>
  </si>
  <si>
    <t>Building Classes - for sanitary facilities</t>
  </si>
  <si>
    <t>Class 7 and 8</t>
  </si>
  <si>
    <t>Class 6 - department stores, shopping centres</t>
  </si>
  <si>
    <t>Class 6 - restaurants, cafes, bars</t>
  </si>
  <si>
    <t>Class 9a - health-care buildings</t>
  </si>
  <si>
    <t>Class 9b - schools</t>
  </si>
  <si>
    <t>Class 9b - early childhood centres</t>
  </si>
  <si>
    <t>Class 9b - theatres and cinemas with multiple auditoria, art galleries or the like</t>
  </si>
  <si>
    <t>Class 9b - sports venues or the like</t>
  </si>
  <si>
    <t>Class 9b - churches, chapels or the like</t>
  </si>
  <si>
    <t>Class 9b - public halls, function rooms or the like</t>
  </si>
  <si>
    <t>patients</t>
  </si>
  <si>
    <t>employees</t>
  </si>
  <si>
    <t>patrons</t>
  </si>
  <si>
    <t>children</t>
  </si>
  <si>
    <t>Class 9b - single auditorium theatres and cinemas</t>
  </si>
  <si>
    <t>students</t>
  </si>
  <si>
    <t>participants</t>
  </si>
  <si>
    <t>spectators or patrons</t>
  </si>
  <si>
    <t>Required sanitary facilities</t>
  </si>
  <si>
    <t>Closet Pans</t>
  </si>
  <si>
    <t>Urinals</t>
  </si>
  <si>
    <t>Washbasins</t>
  </si>
  <si>
    <t>Class</t>
  </si>
  <si>
    <t>Gender</t>
  </si>
  <si>
    <t>Type</t>
  </si>
  <si>
    <t>Limit 1</t>
  </si>
  <si>
    <t>1 #</t>
  </si>
  <si>
    <t>Limit 2</t>
  </si>
  <si>
    <t>2 #</t>
  </si>
  <si>
    <t>Limit 3</t>
  </si>
  <si>
    <t>3 #</t>
  </si>
  <si>
    <t>Limit 4</t>
  </si>
  <si>
    <t>4 #</t>
  </si>
  <si>
    <t>Limit 5</t>
  </si>
  <si>
    <t>Limit 6</t>
  </si>
  <si>
    <t>Design Occupancy</t>
  </si>
  <si>
    <t>NA</t>
  </si>
  <si>
    <t>Male</t>
  </si>
  <si>
    <t>Female</t>
  </si>
  <si>
    <t>User group 1</t>
  </si>
  <si>
    <t>User group 2</t>
  </si>
  <si>
    <t>User group 3</t>
  </si>
  <si>
    <t>Required No.</t>
  </si>
  <si>
    <t>5 #</t>
  </si>
  <si>
    <t>6 #</t>
  </si>
  <si>
    <t>User group</t>
  </si>
  <si>
    <t>Limit 7</t>
  </si>
  <si>
    <t>7 #</t>
  </si>
  <si>
    <t>Calc 1</t>
  </si>
  <si>
    <t>Calc 7</t>
  </si>
  <si>
    <t>Calc 6</t>
  </si>
  <si>
    <t>Calc 5</t>
  </si>
  <si>
    <t>Calc 4</t>
  </si>
  <si>
    <t>Calc 3</t>
  </si>
  <si>
    <t>Calc 2</t>
  </si>
  <si>
    <t>User Group</t>
  </si>
  <si>
    <t>Wash basins</t>
  </si>
  <si>
    <t>Building Class</t>
  </si>
  <si>
    <t>Past limits calc</t>
  </si>
  <si>
    <t>Notes</t>
  </si>
  <si>
    <t>Users' worksheet:</t>
  </si>
  <si>
    <t>To maintain the integrity of the Calculator, this sheet is protected causing some unavoidable restrictions on the functions available.</t>
  </si>
  <si>
    <t>Use of this worksheet is optional and responsibility for its contents and consequences remains entirely with the user.</t>
  </si>
  <si>
    <t>This worksheet has been added for recording notes and making calculations (where desired).</t>
  </si>
  <si>
    <t>All cells below row 5 are accessible for user input, editing and formatting, subject to the limitations due to protection.</t>
  </si>
  <si>
    <t>Showers</t>
  </si>
  <si>
    <t>Baths</t>
  </si>
  <si>
    <t>residents</t>
  </si>
  <si>
    <t>Class 3 - residential aged care buildings</t>
  </si>
  <si>
    <t>Required number of accessible unisex sanitary compartments per level</t>
  </si>
  <si>
    <t>Note A</t>
  </si>
  <si>
    <t>Note B</t>
  </si>
  <si>
    <t>Note C</t>
  </si>
  <si>
    <t>Note D</t>
  </si>
  <si>
    <t>Note E</t>
  </si>
  <si>
    <t>NIL</t>
  </si>
  <si>
    <t>Class 3 - other than Class 3 residential aged care buildings</t>
  </si>
  <si>
    <t>Class 9c - an aged care building</t>
  </si>
  <si>
    <t xml:space="preserve">Female </t>
  </si>
  <si>
    <t>Refer to notes</t>
  </si>
  <si>
    <t xml:space="preserve"> </t>
  </si>
  <si>
    <t xml:space="preserve">These figures apply only for those residents who are NOT being provided with their own private facilities and are for each building or group of buildings. </t>
  </si>
  <si>
    <t>Notes - for the selected building class</t>
  </si>
  <si>
    <t>Calculating the required number of accessible and ambulant unisex sanitary facilities</t>
  </si>
  <si>
    <r>
      <rPr>
        <b/>
        <sz val="9"/>
        <rFont val="Arial"/>
        <family val="2"/>
      </rPr>
      <t>F2.3(b)</t>
    </r>
    <r>
      <rPr>
        <sz val="9"/>
        <rFont val="Arial"/>
        <family val="2"/>
      </rPr>
      <t xml:space="preserve"> If not more than 10 people are employed, a unisex facility may be provided instead of facilities for each sex. </t>
    </r>
  </si>
  <si>
    <r>
      <rPr>
        <b/>
        <sz val="9"/>
        <rFont val="Arial"/>
        <family val="2"/>
      </rPr>
      <t xml:space="preserve">Table F2.3 </t>
    </r>
    <r>
      <rPr>
        <sz val="9"/>
        <rFont val="Arial"/>
        <family val="2"/>
      </rPr>
      <t>Sanitary facilities need not be provided for patrons if the total number of persons accommodated in the building is not more than 600.</t>
    </r>
  </si>
  <si>
    <r>
      <rPr>
        <b/>
        <sz val="9"/>
        <rFont val="Arial"/>
        <family val="2"/>
      </rPr>
      <t>F2.3(d)</t>
    </r>
    <r>
      <rPr>
        <sz val="9"/>
        <rFont val="Arial"/>
        <family val="2"/>
      </rPr>
      <t xml:space="preserve"> Employees and the public may share the same facilities in a </t>
    </r>
    <r>
      <rPr>
        <b/>
        <sz val="9"/>
        <rFont val="Arial"/>
        <family val="2"/>
      </rPr>
      <t>Class 6 and 9b building (other than a school or  early childhood centre)</t>
    </r>
    <r>
      <rPr>
        <sz val="9"/>
        <rFont val="Arial"/>
        <family val="2"/>
      </rPr>
      <t xml:space="preserve"> provided the number of facilities provided is not less than the total number of facilities for employees plus those</t>
    </r>
    <r>
      <rPr>
        <i/>
        <sz val="9"/>
        <rFont val="Arial"/>
        <family val="2"/>
      </rPr>
      <t xml:space="preserve"> </t>
    </r>
    <r>
      <rPr>
        <sz val="9"/>
        <rFont val="Arial"/>
        <family val="2"/>
      </rPr>
      <t>required for the public.</t>
    </r>
  </si>
  <si>
    <r>
      <rPr>
        <b/>
        <sz val="9"/>
        <rFont val="Arial"/>
        <family val="2"/>
      </rPr>
      <t>Table F2.3</t>
    </r>
    <r>
      <rPr>
        <sz val="9"/>
        <rFont val="Arial"/>
        <family val="2"/>
      </rPr>
      <t xml:space="preserve"> Sanitary facilities need not be provided for patrons if the total number of persons accommodated in the building is not more than 20.</t>
    </r>
  </si>
  <si>
    <r>
      <rPr>
        <b/>
        <sz val="9"/>
        <rFont val="Arial"/>
        <family val="2"/>
      </rPr>
      <t>F2.3(d)</t>
    </r>
    <r>
      <rPr>
        <sz val="9"/>
        <rFont val="Arial"/>
        <family val="2"/>
      </rPr>
      <t xml:space="preserve"> Employees and the public may share the same facilities in a Class 6 and 9b building (other than a school or  early childhood centre) provided the number of facilities provided is not less than the total number of facilities for employees plus those required for the public.</t>
    </r>
  </si>
  <si>
    <r>
      <rPr>
        <b/>
        <sz val="9"/>
        <rFont val="Arial"/>
        <family val="2"/>
      </rPr>
      <t xml:space="preserve">F2.3(g)(i) </t>
    </r>
    <r>
      <rPr>
        <sz val="9"/>
        <rFont val="Arial"/>
        <family val="2"/>
      </rPr>
      <t xml:space="preserve">A Class 9a health-care building must be provided with one kitchen or other adequate facility for the preparation and cooking or reheating of food including a kitchen sink and washbasin.
</t>
    </r>
  </si>
  <si>
    <r>
      <rPr>
        <b/>
        <sz val="9"/>
        <rFont val="Arial"/>
        <family val="2"/>
      </rPr>
      <t>F2.3(f)</t>
    </r>
    <r>
      <rPr>
        <sz val="9"/>
        <rFont val="Arial"/>
        <family val="2"/>
      </rPr>
      <t xml:space="preserve"> Separate facilities for males and females need not be provided for patients in a ward area of a Class 9a building.                  </t>
    </r>
    <r>
      <rPr>
        <b/>
        <sz val="9"/>
        <rFont val="Arial"/>
        <family val="2"/>
      </rPr>
      <t>F2.3(g)(iv)</t>
    </r>
    <r>
      <rPr>
        <sz val="9"/>
        <rFont val="Arial"/>
        <family val="2"/>
      </rPr>
      <t xml:space="preserve"> A Class 9a health-care building must be provided with one island-type plunge bath in each storey containing a ward area. </t>
    </r>
  </si>
  <si>
    <r>
      <rPr>
        <b/>
        <sz val="9"/>
        <rFont val="Arial"/>
        <family val="2"/>
      </rPr>
      <t>Table F2.3</t>
    </r>
    <r>
      <rPr>
        <sz val="9"/>
        <rFont val="Arial"/>
        <family val="2"/>
      </rPr>
      <t xml:space="preserve"> Facilities for use by children must be: (a) junior pans; (b) washbasins with a rim height not exceeding 600mm; and (c) accessible from both indoor and outdoor play areas. </t>
    </r>
  </si>
  <si>
    <r>
      <t xml:space="preserve">Refer to </t>
    </r>
    <r>
      <rPr>
        <b/>
        <sz val="9"/>
        <rFont val="Arial"/>
        <family val="2"/>
      </rPr>
      <t>F2.3(h)</t>
    </r>
    <r>
      <rPr>
        <sz val="9"/>
        <rFont val="Arial"/>
        <family val="2"/>
      </rPr>
      <t xml:space="preserve"> for additional requirements pertaining to food preparation areas, baths and showers, and children under the age of three (3). </t>
    </r>
  </si>
  <si>
    <r>
      <rPr>
        <b/>
        <sz val="9"/>
        <rFont val="Arial"/>
        <family val="2"/>
      </rPr>
      <t xml:space="preserve">Table F2.3 </t>
    </r>
    <r>
      <rPr>
        <sz val="9"/>
        <rFont val="Arial"/>
        <family val="2"/>
      </rPr>
      <t>Sanitary facilities need not be provided for patrons if the total number of persons accommodated in the building is not more than 20.</t>
    </r>
  </si>
  <si>
    <r>
      <t>NOTE - ACCESSIBLE ADULT CHANGE FACILITIES:</t>
    </r>
    <r>
      <rPr>
        <sz val="12"/>
        <color theme="1"/>
        <rFont val="Arial"/>
        <family val="2"/>
      </rPr>
      <t xml:space="preserve"> This part of the calculator does </t>
    </r>
    <r>
      <rPr>
        <b/>
        <sz val="12"/>
        <color theme="1"/>
        <rFont val="Arial"/>
        <family val="2"/>
      </rPr>
      <t>not</t>
    </r>
    <r>
      <rPr>
        <sz val="12"/>
        <color theme="1"/>
        <rFont val="Arial"/>
        <family val="2"/>
      </rPr>
      <t xml:space="preserve"> address the requirements for accessible adult change facilities. </t>
    </r>
    <r>
      <rPr>
        <b/>
        <sz val="12"/>
        <color theme="1"/>
        <rFont val="Arial"/>
        <family val="2"/>
      </rPr>
      <t>Refer to F2.9</t>
    </r>
    <r>
      <rPr>
        <sz val="12"/>
        <color theme="1"/>
        <rFont val="Arial"/>
        <family val="2"/>
      </rPr>
      <t xml:space="preserve"> for the relevant requirements. </t>
    </r>
  </si>
  <si>
    <r>
      <rPr>
        <b/>
        <sz val="18"/>
        <rFont val="Arial"/>
        <family val="2"/>
      </rPr>
      <t>Calculator</t>
    </r>
    <r>
      <rPr>
        <b/>
        <sz val="14"/>
        <rFont val="Arial"/>
        <family val="2"/>
      </rPr>
      <t xml:space="preserve">  </t>
    </r>
  </si>
  <si>
    <t xml:space="preserve">Number of levels in your building (including ground level)  </t>
  </si>
  <si>
    <t xml:space="preserve">Required number of accessible unisex sanitary compartments per level  </t>
  </si>
  <si>
    <t xml:space="preserve">Required total number of accessible unisex sanitary compartments  </t>
  </si>
  <si>
    <t>Technical information</t>
  </si>
  <si>
    <t>State and Territory variations</t>
  </si>
  <si>
    <t>NCC defined terms</t>
  </si>
  <si>
    <t>How to use the Calculator</t>
  </si>
  <si>
    <t>To demonstrate how to use the Calculator, an example of a new primary school has been used. The required information to be entered includes:</t>
  </si>
  <si>
    <t>Once these details are entered, the Calculator will work out the required number of sanitary facilities for the school used in the example.  Refer to the following step by step guide.</t>
  </si>
  <si>
    <t>Step One</t>
  </si>
  <si>
    <t>Figure 1: Example of Sanitary Facility Calculator table showing the building address cells</t>
  </si>
  <si>
    <t>Step Two</t>
  </si>
  <si>
    <t>Figure 2: Example of Sanitary Facility Calculator table showing the building classification cell</t>
  </si>
  <si>
    <t>Step Three</t>
  </si>
  <si>
    <t>You can also hover your mouse pointer over the red corner triangles in the “Gender”, “Design Occupancy” and “User Group” header cells for supporting comments on what to enter.</t>
  </si>
  <si>
    <t>Figure 3: Example of Sanitary Facility Calculator</t>
  </si>
  <si>
    <t>table showing the Design Occupancy, Gender</t>
  </si>
  <si>
    <t>and User Group columns.</t>
  </si>
  <si>
    <t>Step Four</t>
  </si>
  <si>
    <t>Figure 4: Example of Sanitary Facilities Calculator table</t>
  </si>
  <si>
    <t>showing the required number of facilities</t>
  </si>
  <si>
    <t>For each respective user group (including by gender), the required number of closet pans, urinals and washbasins has been specified. Where a requirement is not applicable, for example – urinals are not required for female occupants, a “NA”, i.e. Not Applicable, result will show.</t>
  </si>
  <si>
    <t>Step Five</t>
  </si>
  <si>
    <t>Figure 5: Example for Sanitary Facilities Calculator showing location of the Notes box.</t>
  </si>
  <si>
    <t>Step Six</t>
  </si>
  <si>
    <t>Figure 6: Example for Sanitary Facilities Calculator showing location of cells for calculating</t>
  </si>
  <si>
    <t>1. Version</t>
  </si>
  <si>
    <t>2. Operating system</t>
  </si>
  <si>
    <t>3. Displaying the Calculator form</t>
  </si>
  <si>
    <t>4. Changing input details</t>
  </si>
  <si>
    <t>5. Printing</t>
  </si>
  <si>
    <t>6. Users’ worksheet</t>
  </si>
  <si>
    <t>The Calculator form can be printed using the File/Print menu.  The print area has been pre-set to fit onto one A4 page in landscape orientation.</t>
  </si>
  <si>
    <t>A protected worksheet with a majority of cells accessible has been provided for users’ own notes and calculations.</t>
  </si>
  <si>
    <t>Protection is necessary to maintain the integrity of the Calculator but does restrict the functions and operations available to the user. The worksheet can be accessed by selecting the “Worksheet” tab at the bottom of the Excel window.</t>
  </si>
  <si>
    <t>Use of this worksheet is optional and responsibility for its contents and outputs rests entirely with the user. The ABCB accepts no responsibility for any calculations performed or the outputs of these calculations on this worksheet.</t>
  </si>
  <si>
    <t xml:space="preserve">Note that this Calculator does not calculate whether the requirements for accessible adult change facilities apply to your project - please refer to Part F2.9 for further information on these requirements. </t>
  </si>
  <si>
    <t>This concludes the example of how to use the Calculator. Please be aware that you should only use this Calculator in conjunction with NCC Volume One Part F2, Sanitary and other facilities and make yourself aware of other related requirements for accessible facilities, including accessible adult change facilities and calculating building occupant densities.</t>
  </si>
  <si>
    <t xml:space="preserve">Calculator  </t>
  </si>
  <si>
    <t>For the purposes of determining the number of sanitary facilities in a building, the ratio of males and females accommodated in a building is assumed to be 50-50, unless the building is used mainly by one sex. For example, in a women’s hospital – you could reasonably assume that all patients will be female.</t>
  </si>
  <si>
    <t>The Calculator form has been designed for viewing at 75% zoom. Some users may need to adjust the screen zoom setting to see the whole form at once. The worksheet background does not change when zoom settings are altered and does not print.</t>
  </si>
  <si>
    <t>Colour Guide</t>
  </si>
  <si>
    <t>Input</t>
  </si>
  <si>
    <t>Calculated</t>
  </si>
  <si>
    <r>
      <rPr>
        <b/>
        <sz val="20"/>
        <color theme="0"/>
        <rFont val="Arial"/>
        <family val="2"/>
      </rPr>
      <t>Building classification</t>
    </r>
    <r>
      <rPr>
        <b/>
        <sz val="20"/>
        <color theme="1"/>
        <rFont val="Arial"/>
        <family val="2"/>
      </rPr>
      <t xml:space="preserve"> </t>
    </r>
  </si>
  <si>
    <t>·  The file name includes the version number. The latest version should always be used.</t>
  </si>
  <si>
    <t>·  A record of changes made to each version of this Calculator appears at the end of the Help Section.</t>
  </si>
  <si>
    <t>The address cells, the building classification cell, the design occupancy cells, the number of levels and banks of toilets (for accessible unisex sanitary facilities) cells are available for user input. Input cells are coloured gold. All other cells are not available for selection or editing.</t>
  </si>
  <si>
    <r>
      <t>·</t>
    </r>
    <r>
      <rPr>
        <sz val="7"/>
        <rFont val="Arial"/>
        <family val="2"/>
      </rPr>
      <t>   </t>
    </r>
    <r>
      <rPr>
        <sz val="11"/>
        <rFont val="Arial"/>
        <family val="2"/>
      </rPr>
      <t>Building address;</t>
    </r>
  </si>
  <si>
    <r>
      <t>·</t>
    </r>
    <r>
      <rPr>
        <sz val="7"/>
        <rFont val="Arial"/>
        <family val="2"/>
      </rPr>
      <t>   </t>
    </r>
    <r>
      <rPr>
        <sz val="11"/>
        <rFont val="Arial"/>
        <family val="2"/>
      </rPr>
      <t>Number of building occupants. This includes teachers, support staff (i.e. employees) and students.</t>
    </r>
  </si>
  <si>
    <t xml:space="preserve">Enter the address details of the building location as per screenshot example below, into the cells. You can also hover your mouse pointer over the red corner triangles in the “Address line” cells for supporting comments on what to enter. </t>
  </si>
  <si>
    <t>Version history</t>
  </si>
  <si>
    <r>
      <t xml:space="preserve">Select the building classification that applies to the project. For our working example, it will be“Class 9b – schools”.  The selection is made in the </t>
    </r>
    <r>
      <rPr>
        <b/>
        <sz val="11"/>
        <rFont val="Arial"/>
        <family val="2"/>
      </rPr>
      <t>GOLD input cell</t>
    </r>
    <r>
      <rPr>
        <sz val="11"/>
        <rFont val="Arial"/>
        <family val="2"/>
      </rPr>
      <t xml:space="preserve"> – use the drop-down list arrow (as circled in red below) to select your building classification. You can also hover your mouse pointer over the red corner triangle in the building classification cell for supporting comment on what to enter.</t>
    </r>
  </si>
  <si>
    <r>
      <t>Enter the number of occupants</t>
    </r>
    <r>
      <rPr>
        <sz val="11"/>
        <rFont val="Arial"/>
        <family val="2"/>
      </rPr>
      <t xml:space="preserve"> that the building is designed to accommodate into the “</t>
    </r>
    <r>
      <rPr>
        <i/>
        <sz val="11"/>
        <rFont val="Arial"/>
        <family val="2"/>
      </rPr>
      <t>Design Occupancy</t>
    </r>
    <r>
      <rPr>
        <sz val="11"/>
        <rFont val="Arial"/>
        <family val="2"/>
      </rPr>
      <t xml:space="preserve">” column. Note that </t>
    </r>
    <r>
      <rPr>
        <b/>
        <sz val="11"/>
        <rFont val="Arial"/>
        <family val="2"/>
      </rPr>
      <t>user groups</t>
    </r>
    <r>
      <rPr>
        <sz val="11"/>
        <rFont val="Arial"/>
        <family val="2"/>
      </rPr>
      <t xml:space="preserve"> will differ by building classification. In the case of Class 9b – schools, the two user groups are employees (i.e. teachers, administration and support staff) and students. </t>
    </r>
    <r>
      <rPr>
        <b/>
        <sz val="11"/>
        <rFont val="Arial"/>
        <family val="2"/>
      </rPr>
      <t>Gender</t>
    </r>
    <r>
      <rPr>
        <sz val="11"/>
        <rFont val="Arial"/>
        <family val="2"/>
      </rPr>
      <t xml:space="preserve"> requirements may vary. </t>
    </r>
    <r>
      <rPr>
        <b/>
        <sz val="11"/>
        <rFont val="Arial"/>
        <family val="2"/>
      </rPr>
      <t>Select enter</t>
    </r>
    <r>
      <rPr>
        <sz val="11"/>
        <rFont val="Arial"/>
        <family val="2"/>
      </rPr>
      <t xml:space="preserve"> after entering the numbers. Only input where required to do so.</t>
    </r>
  </si>
  <si>
    <r>
      <t xml:space="preserve">The </t>
    </r>
    <r>
      <rPr>
        <b/>
        <sz val="11"/>
        <rFont val="Arial"/>
        <family val="2"/>
      </rPr>
      <t>first input</t>
    </r>
    <r>
      <rPr>
        <sz val="11"/>
        <rFont val="Arial"/>
        <family val="2"/>
      </rPr>
      <t xml:space="preserve"> is</t>
    </r>
    <r>
      <rPr>
        <b/>
        <sz val="11"/>
        <rFont val="Arial"/>
        <family val="2"/>
      </rPr>
      <t xml:space="preserve"> the number of levels in the building</t>
    </r>
    <r>
      <rPr>
        <sz val="11"/>
        <rFont val="Arial"/>
        <family val="2"/>
      </rPr>
      <t xml:space="preserve">, including the ground level. In this example, the school is a two storey building, so enter the number two (2) in the </t>
    </r>
    <r>
      <rPr>
        <b/>
        <sz val="11"/>
        <rFont val="Arial"/>
        <family val="2"/>
      </rPr>
      <t>gold input cell</t>
    </r>
    <r>
      <rPr>
        <sz val="11"/>
        <rFont val="Arial"/>
        <family val="2"/>
      </rPr>
      <t xml:space="preserve"> adjacent to the “number of levels” cell. </t>
    </r>
    <r>
      <rPr>
        <b/>
        <sz val="11"/>
        <rFont val="Arial"/>
        <family val="2"/>
      </rPr>
      <t>The next input</t>
    </r>
    <r>
      <rPr>
        <sz val="11"/>
        <rFont val="Arial"/>
        <family val="2"/>
      </rPr>
      <t xml:space="preserve"> is</t>
    </r>
    <r>
      <rPr>
        <b/>
        <sz val="11"/>
        <rFont val="Arial"/>
        <family val="2"/>
      </rPr>
      <t xml:space="preserve"> the number of banks of sanitary compartments in the building on each level</t>
    </r>
    <r>
      <rPr>
        <sz val="11"/>
        <rFont val="Arial"/>
        <family val="2"/>
      </rPr>
      <t xml:space="preserve">. The NCC does not define a ‘bank’, however a common example is where sanitary compartments for use by males and females are located together. The school in this example is large, so there are two separate banks of toilets on each level of the building. Enter the number two (2) in the </t>
    </r>
    <r>
      <rPr>
        <b/>
        <sz val="11"/>
        <rFont val="Arial"/>
        <family val="2"/>
      </rPr>
      <t>gold input cell</t>
    </r>
    <r>
      <rPr>
        <sz val="11"/>
        <rFont val="Arial"/>
        <family val="2"/>
      </rPr>
      <t xml:space="preserve"> adjacent to the “number of banks” cell.</t>
    </r>
  </si>
  <si>
    <r>
      <t>To correctly determine the number of occupants your building accommodates, refer to NCC Volume One D1.13, Number of persons accommodated. This provision sets out the area (m</t>
    </r>
    <r>
      <rPr>
        <vertAlign val="superscript"/>
        <sz val="11"/>
        <rFont val="Arial"/>
        <family val="2"/>
      </rPr>
      <t>2</t>
    </r>
    <r>
      <rPr>
        <sz val="11"/>
        <rFont val="Arial"/>
        <family val="2"/>
      </rPr>
      <t>) per person by type of use.</t>
    </r>
  </si>
  <si>
    <t>Refer to the columns under “Required sanitary facilities”. These will display the required number of sanitary facilities for each user group applicable for the building as per NCC Volume One Part F2.3, Facilities in Class 3 to 9 buildings. Note that this does not include accessible unisex sanitary facilities.</t>
  </si>
  <si>
    <r>
      <t>·</t>
    </r>
    <r>
      <rPr>
        <sz val="7"/>
        <rFont val="Arial"/>
        <family val="2"/>
      </rPr>
      <t>   </t>
    </r>
    <r>
      <rPr>
        <sz val="11"/>
        <rFont val="Arial"/>
        <family val="2"/>
      </rPr>
      <t>Building classification as per NCC Volume One, Part A6 Building classification; and</t>
    </r>
  </si>
  <si>
    <t>Please note that the Calculator incorporates NCC defined terms. Refer to the NCC for further information on defined terms.</t>
  </si>
  <si>
    <t>Please note that this Calculator does not account for State and Territory variations to Part F2 Sanitary and other facilities.</t>
  </si>
  <si>
    <t>Now, let’s look at the accessible sanitary facilities component of the Calculator. NCC Volume One Part F2.4, Accessible sanitary facilities outlines in further detail the Deemed-to-Satisfy requirements for accessible sanitary facilities. You need to be aware of these requirements – do not just rely on the Calculator.</t>
  </si>
  <si>
    <t xml:space="preserve">This version follows the release and withdrawal of the beta Sanitary facilities Calculator in 2018. Amendments following the beta version include corrections to some supporting formulas for calculations relating to required sanitary facilities for some building classifications, minor revisions and additions to supporting notes and the Help guide to align with NCC 2019, and minor graphic design revisions. </t>
  </si>
  <si>
    <t>Class 5, 6 and 9 (other than schools)</t>
  </si>
  <si>
    <r>
      <t xml:space="preserve">Where shower facilities are required, refer to </t>
    </r>
    <r>
      <rPr>
        <b/>
        <sz val="9"/>
        <rFont val="Arial"/>
        <family val="2"/>
      </rPr>
      <t>F2.4(b)</t>
    </r>
    <r>
      <rPr>
        <sz val="9"/>
        <rFont val="Arial"/>
        <family val="2"/>
      </rPr>
      <t xml:space="preserve"> for requirements for the provision of accessible unisex showers.</t>
    </r>
  </si>
  <si>
    <r>
      <t>Where shower facilities are required, refer to</t>
    </r>
    <r>
      <rPr>
        <b/>
        <sz val="9"/>
        <rFont val="Arial"/>
        <family val="2"/>
      </rPr>
      <t xml:space="preserve"> F2.4(b)</t>
    </r>
    <r>
      <rPr>
        <sz val="9"/>
        <rFont val="Arial"/>
        <family val="2"/>
      </rPr>
      <t xml:space="preserve"> for requirements for the provision of accessible unisex showers.</t>
    </r>
  </si>
  <si>
    <r>
      <t xml:space="preserve">Where shower facilities are required, refer to </t>
    </r>
    <r>
      <rPr>
        <b/>
        <sz val="9"/>
        <rFont val="Arial"/>
        <family val="2"/>
      </rPr>
      <t>F2.4(b</t>
    </r>
    <r>
      <rPr>
        <sz val="9"/>
        <rFont val="Arial"/>
        <family val="2"/>
      </rPr>
      <t>) for requirements for the provision of accessible unisex showers.</t>
    </r>
  </si>
  <si>
    <r>
      <t xml:space="preserve">Where shower facilities are required, refer to </t>
    </r>
    <r>
      <rPr>
        <b/>
        <sz val="9"/>
        <rFont val="Arial"/>
        <family val="2"/>
      </rPr>
      <t xml:space="preserve">F2.4(b) </t>
    </r>
    <r>
      <rPr>
        <sz val="9"/>
        <rFont val="Arial"/>
        <family val="2"/>
      </rPr>
      <t>for requirements for the provision of accessible unisex showers.</t>
    </r>
  </si>
  <si>
    <r>
      <t xml:space="preserve"> A unisex accessible adult change facility must be provided in an accessible part of a Class 6 building that is a shopping centre - having a design occupancy of not less than 3,500 people, calculated on the basis of the </t>
    </r>
    <r>
      <rPr>
        <sz val="9"/>
        <color theme="1"/>
        <rFont val="Arial"/>
        <family val="2"/>
      </rPr>
      <t xml:space="preserve">floor </t>
    </r>
    <r>
      <rPr>
        <sz val="9"/>
        <color rgb="FF000000"/>
        <rFont val="Arial"/>
        <family val="2"/>
      </rPr>
      <t>area and containing a minimum of 2 sole occupancy units.  Refer to</t>
    </r>
    <r>
      <rPr>
        <b/>
        <sz val="9"/>
        <color rgb="FF000000"/>
        <rFont val="Arial"/>
        <family val="2"/>
      </rPr>
      <t xml:space="preserve"> F2.9</t>
    </r>
    <r>
      <rPr>
        <sz val="9"/>
        <color rgb="FF000000"/>
        <rFont val="Arial"/>
        <family val="2"/>
      </rPr>
      <t xml:space="preserve"> for further details.</t>
    </r>
  </si>
  <si>
    <r>
      <t xml:space="preserve">One unisex accessible adult change facility must be provided in an accessible part of a Class 9b sports venue or the like that has a design occupancy of not less than 35,000 spectators, OR contains a swimming pool that has a perimeter of not less than 70m and that is required by </t>
    </r>
    <r>
      <rPr>
        <b/>
        <sz val="9"/>
        <color rgb="FF000000"/>
        <rFont val="Arial"/>
        <family val="2"/>
      </rPr>
      <t>Table</t>
    </r>
    <r>
      <rPr>
        <sz val="9"/>
        <color rgb="FF000000"/>
        <rFont val="Arial"/>
        <family val="2"/>
      </rPr>
      <t xml:space="preserve"> </t>
    </r>
    <r>
      <rPr>
        <b/>
        <sz val="9"/>
        <color rgb="FF000000"/>
        <rFont val="Arial"/>
        <family val="2"/>
      </rPr>
      <t>D3.1</t>
    </r>
    <r>
      <rPr>
        <sz val="9"/>
        <color rgb="FF000000"/>
        <rFont val="Arial"/>
        <family val="2"/>
      </rPr>
      <t xml:space="preserve"> to be accessible.  Refer to</t>
    </r>
    <r>
      <rPr>
        <b/>
        <sz val="9"/>
        <color rgb="FF000000"/>
        <rFont val="Arial"/>
        <family val="2"/>
      </rPr>
      <t xml:space="preserve"> F2.9 </t>
    </r>
    <r>
      <rPr>
        <sz val="9"/>
        <color rgb="FF000000"/>
        <rFont val="Arial"/>
        <family val="2"/>
      </rPr>
      <t xml:space="preserve">for further details. </t>
    </r>
  </si>
  <si>
    <r>
      <rPr>
        <b/>
        <sz val="9"/>
        <rFont val="Arial"/>
        <family val="2"/>
      </rPr>
      <t xml:space="preserve"> F2.1(b)(iv) </t>
    </r>
    <r>
      <rPr>
        <sz val="9"/>
        <rFont val="Arial"/>
        <family val="2"/>
      </rPr>
      <t xml:space="preserve">states that </t>
    </r>
    <r>
      <rPr>
        <b/>
        <sz val="9"/>
        <rFont val="Arial"/>
        <family val="2"/>
      </rPr>
      <t>t</t>
    </r>
    <r>
      <rPr>
        <sz val="9"/>
        <rFont val="Arial"/>
        <family val="2"/>
      </rPr>
      <t>hese facilities need not be situated in the same building.</t>
    </r>
  </si>
  <si>
    <r>
      <rPr>
        <b/>
        <sz val="9"/>
        <rFont val="Arial"/>
        <family val="2"/>
      </rPr>
      <t xml:space="preserve">F2.1(b)(i) </t>
    </r>
    <r>
      <rPr>
        <sz val="9"/>
        <rFont val="Arial"/>
        <family val="2"/>
      </rPr>
      <t xml:space="preserve">requires that for every 10 residents NOT provided with private facilities, facilities shall provide </t>
    </r>
    <r>
      <rPr>
        <b/>
        <sz val="9"/>
        <rFont val="Arial"/>
        <family val="2"/>
      </rPr>
      <t>EITHER</t>
    </r>
    <r>
      <rPr>
        <sz val="9"/>
        <rFont val="Arial"/>
        <family val="2"/>
      </rPr>
      <t xml:space="preserve"> a bath </t>
    </r>
    <r>
      <rPr>
        <b/>
        <sz val="9"/>
        <rFont val="Arial"/>
        <family val="2"/>
      </rPr>
      <t>OR</t>
    </r>
    <r>
      <rPr>
        <sz val="9"/>
        <rFont val="Arial"/>
        <family val="2"/>
      </rPr>
      <t xml:space="preserve"> shower. Therefore, the required number is the bath or shower number, </t>
    </r>
    <r>
      <rPr>
        <b/>
        <sz val="9"/>
        <rFont val="Arial"/>
        <family val="2"/>
      </rPr>
      <t>NOT</t>
    </r>
    <r>
      <rPr>
        <sz val="9"/>
        <rFont val="Arial"/>
        <family val="2"/>
      </rPr>
      <t xml:space="preserve"> the sum of both. </t>
    </r>
  </si>
  <si>
    <r>
      <t>Note exception as per</t>
    </r>
    <r>
      <rPr>
        <b/>
        <sz val="9"/>
        <rFont val="Arial"/>
        <family val="2"/>
      </rPr>
      <t xml:space="preserve"> F2.1(b)(ii)</t>
    </r>
    <r>
      <rPr>
        <sz val="9"/>
        <rFont val="Arial"/>
        <family val="2"/>
      </rPr>
      <t xml:space="preserve"> if one urinal is provided for each 25 males up to 50 and one additional urinal for each additional 50 males or part thereof,
one closet pan for each 12 males may be provided.</t>
    </r>
  </si>
  <si>
    <r>
      <rPr>
        <b/>
        <sz val="9"/>
        <rFont val="Arial"/>
        <family val="2"/>
      </rPr>
      <t xml:space="preserve">F2.1(c)(ii) </t>
    </r>
    <r>
      <rPr>
        <sz val="9"/>
        <rFont val="Arial"/>
        <family val="2"/>
      </rPr>
      <t xml:space="preserve">Urinals must not be taken into consideration in calculating the number of facilities. </t>
    </r>
  </si>
  <si>
    <r>
      <t xml:space="preserve">For residents who do NOT have private facilities, provide a suitable bath, fixed or mobile, for each building or group of buildings -refer to </t>
    </r>
    <r>
      <rPr>
        <b/>
        <sz val="9"/>
        <rFont val="Arial"/>
        <family val="2"/>
      </rPr>
      <t>F2.1(e)(i)</t>
    </r>
    <r>
      <rPr>
        <sz val="9"/>
        <rFont val="Arial"/>
        <family val="2"/>
      </rPr>
      <t>.</t>
    </r>
  </si>
  <si>
    <r>
      <t xml:space="preserve">Refer to </t>
    </r>
    <r>
      <rPr>
        <b/>
        <sz val="9"/>
        <rFont val="Arial"/>
        <family val="2"/>
      </rPr>
      <t>F2.1</t>
    </r>
    <r>
      <rPr>
        <b/>
        <sz val="9"/>
        <rFont val="Arial"/>
        <family val="2"/>
      </rPr>
      <t>(e)(ii)</t>
    </r>
    <r>
      <rPr>
        <sz val="9"/>
        <rFont val="Arial"/>
        <family val="2"/>
      </rPr>
      <t xml:space="preserve"> for requirements for kitchens, laundries and clinical hand washing basin. </t>
    </r>
  </si>
  <si>
    <r>
      <rPr>
        <b/>
        <u/>
        <sz val="12"/>
        <color theme="1"/>
        <rFont val="Arial"/>
        <family val="2"/>
      </rPr>
      <t>NOTE - ACCESSIBLE UNISEX SANITARY COMPARTMENT</t>
    </r>
    <r>
      <rPr>
        <b/>
        <sz val="12"/>
        <color theme="1"/>
        <rFont val="Arial"/>
        <family val="2"/>
      </rPr>
      <t xml:space="preserve"> - </t>
    </r>
    <r>
      <rPr>
        <sz val="12"/>
        <color theme="1"/>
        <rFont val="Arial"/>
        <family val="2"/>
      </rPr>
      <t xml:space="preserve">These comprise of: a closet pan, washbasin, shelf or benchtop, and adequate means of disposal of sanitary products. The design of the accessible sanitary facility must comply with AS 1428.1. </t>
    </r>
    <r>
      <rPr>
        <b/>
        <sz val="12"/>
        <color theme="1"/>
        <rFont val="Arial"/>
        <family val="2"/>
      </rPr>
      <t>Refer to F2.4</t>
    </r>
    <r>
      <rPr>
        <sz val="12"/>
        <color theme="1"/>
        <rFont val="Arial"/>
        <family val="2"/>
      </rPr>
      <t xml:space="preserve"> for further information on accessible sanitary facilities. </t>
    </r>
  </si>
  <si>
    <t xml:space="preserve">Check the notes box to the right of the “Required sanitary facilities” cells. Any information in this box will be specific to the building classification selected. For the building classification “Class 9b – schools”, there is one note. </t>
  </si>
  <si>
    <t xml:space="preserve">The Calculator has been developed in the Windows® version of Microsoft Excel® 2013 on Windows 10. </t>
  </si>
  <si>
    <r>
      <rPr>
        <b/>
        <sz val="12"/>
        <color theme="1"/>
        <rFont val="Arial"/>
        <family val="2"/>
      </rPr>
      <t>NOTE</t>
    </r>
    <r>
      <rPr>
        <sz val="12"/>
        <color theme="1"/>
        <rFont val="Arial"/>
        <family val="2"/>
      </rPr>
      <t>:  In calculating the number of facilities to be provided, under</t>
    </r>
    <r>
      <rPr>
        <b/>
        <sz val="12"/>
        <color theme="1"/>
        <rFont val="Arial"/>
        <family val="2"/>
      </rPr>
      <t xml:space="preserve"> F2.1 </t>
    </r>
    <r>
      <rPr>
        <sz val="12"/>
        <color theme="1"/>
        <rFont val="Arial"/>
        <family val="2"/>
      </rPr>
      <t xml:space="preserve">and </t>
    </r>
    <r>
      <rPr>
        <b/>
        <sz val="12"/>
        <color theme="1"/>
        <rFont val="Arial"/>
        <family val="2"/>
      </rPr>
      <t>F2.3</t>
    </r>
    <r>
      <rPr>
        <sz val="12"/>
        <color theme="1"/>
        <rFont val="Arial"/>
        <family val="2"/>
      </rPr>
      <t xml:space="preserve"> an accessible unisex facility required for people with a disability may be counted once for each sex. An accessible unisex facility comprises one closet pan, one washbasin and adequate means of disposal of sanitary products. This concession means that for each wash basin and closet pan counted above, you may deduct one for each accessible unisex facility provided. This concession does </t>
    </r>
    <r>
      <rPr>
        <b/>
        <sz val="12"/>
        <color theme="1"/>
        <rFont val="Arial"/>
        <family val="2"/>
      </rPr>
      <t>NOT</t>
    </r>
    <r>
      <rPr>
        <sz val="12"/>
        <color theme="1"/>
        <rFont val="Arial"/>
        <family val="2"/>
      </rPr>
      <t xml:space="preserve"> apply to urinals. Refer to</t>
    </r>
    <r>
      <rPr>
        <b/>
        <sz val="12"/>
        <color theme="1"/>
        <rFont val="Arial"/>
        <family val="2"/>
      </rPr>
      <t xml:space="preserve"> F2.2</t>
    </r>
    <r>
      <rPr>
        <sz val="12"/>
        <color theme="1"/>
        <rFont val="Arial"/>
        <family val="2"/>
      </rPr>
      <t xml:space="preserve"> for further details.</t>
    </r>
  </si>
  <si>
    <r>
      <rPr>
        <b/>
        <sz val="9"/>
        <rFont val="Arial"/>
        <family val="2"/>
      </rPr>
      <t>F2.3(g)(ii)</t>
    </r>
    <r>
      <rPr>
        <sz val="9"/>
        <rFont val="Arial"/>
        <family val="2"/>
      </rPr>
      <t xml:space="preserve"> A Class 9a health-care building must  be provided with laundry facilities for the cleansing and drying of linen and clothing or adequate facilities for holding and dispatch or treatment of soiled linen and clothing, sanitary products and the like and the receipt and storage of clean linen.</t>
    </r>
  </si>
  <si>
    <r>
      <rPr>
        <b/>
        <sz val="9"/>
        <rFont val="Arial"/>
        <family val="2"/>
      </rPr>
      <t xml:space="preserve">Table F2.3 </t>
    </r>
    <r>
      <rPr>
        <sz val="9"/>
        <rFont val="Arial"/>
        <family val="2"/>
      </rPr>
      <t xml:space="preserve">Sanitary facilities need not be provided for a </t>
    </r>
    <r>
      <rPr>
        <b/>
        <sz val="9"/>
        <rFont val="Arial"/>
        <family val="2"/>
      </rPr>
      <t>Class 8</t>
    </r>
    <r>
      <rPr>
        <sz val="9"/>
        <rFont val="Arial"/>
        <family val="2"/>
      </rPr>
      <t xml:space="preserve"> electricity network substation.</t>
    </r>
  </si>
  <si>
    <t xml:space="preserve">Required total number of ambulant sanitary compartments  </t>
  </si>
  <si>
    <t xml:space="preserve">Required number of male ambulant sanitary compartments per level  </t>
  </si>
  <si>
    <t xml:space="preserve">Required number of female ambulant sanitary compartments per level  </t>
  </si>
  <si>
    <t>the required number of accessible and ambulant sanitary facilities.</t>
  </si>
  <si>
    <t>Once these two values are entered, the Calculator estimates the required number of accessible and ambulant sanitary compartments for each level of the building, as well as the total required number of accessible and ambulant sanitary compartments. For this example, one (1) accessible unisex sanitary compartment is required per level, which brings the total required number to two (2).</t>
  </si>
  <si>
    <t>Version 1.1:</t>
  </si>
  <si>
    <r>
      <rPr>
        <b/>
        <u/>
        <sz val="12"/>
        <color theme="1"/>
        <rFont val="Arial"/>
        <family val="2"/>
      </rPr>
      <t>NOTE - BANKS of SANITARY COMPARTMENTS:</t>
    </r>
    <r>
      <rPr>
        <sz val="12"/>
        <color theme="1"/>
        <rFont val="Arial"/>
        <family val="2"/>
      </rPr>
      <t xml:space="preserve"> Due to the individual nature of building projects and their intended use, the definition of a 'bank' of sanitary compartments can be subjective. This calculator is intended as a guide only. </t>
    </r>
  </si>
  <si>
    <t>This is Version 1.2 of the Sanitary Facilities Calculator first issued for use under Part F2 Sanitary and other facilities, NCC 2019 Volume One Deemed-to-Satisfy (DTS) Provisions.</t>
  </si>
  <si>
    <t>Version 1.2:</t>
  </si>
  <si>
    <t>This version includes a revision to the supporting formulas for calculating required ambulant facilities and an additional note regarding the calculation of ambulant sanitary facilities.</t>
  </si>
  <si>
    <t xml:space="preserve">Number of banks of sanitary compartments per level </t>
  </si>
  <si>
    <r>
      <rPr>
        <b/>
        <u/>
        <sz val="12"/>
        <color theme="1"/>
        <rFont val="Arial"/>
        <family val="2"/>
      </rPr>
      <t>NOTE - AMBULANT SANITARY COMPARTMENTS:</t>
    </r>
    <r>
      <rPr>
        <sz val="12"/>
        <color theme="1"/>
        <rFont val="Arial"/>
        <family val="2"/>
      </rPr>
      <t xml:space="preserve"> This calculator only determines the number of ambulant sanitary compartments required based on the required number of accessible sanitary compartments as per the Deemed-to-Satisfy provisions of the NCC 2019 Volume One, </t>
    </r>
    <r>
      <rPr>
        <b/>
        <sz val="12"/>
        <color theme="1"/>
        <rFont val="Arial"/>
        <family val="2"/>
      </rPr>
      <t>Part F2.4</t>
    </r>
    <r>
      <rPr>
        <sz val="12"/>
        <color theme="1"/>
        <rFont val="Arial"/>
        <family val="2"/>
      </rPr>
      <t xml:space="preserve">. It does not account for the voluntary provision of additional accessible sanitary compartments to a bank of sanitary compartments. Where additional accessible sanitary compartments have been included voluntarily, </t>
    </r>
    <r>
      <rPr>
        <b/>
        <sz val="12"/>
        <color theme="1"/>
        <rFont val="Arial"/>
        <family val="2"/>
      </rPr>
      <t>F2.4(c)</t>
    </r>
    <r>
      <rPr>
        <sz val="12"/>
        <color theme="1"/>
        <rFont val="Arial"/>
        <family val="2"/>
      </rPr>
      <t xml:space="preserve"> must be satisfied.</t>
    </r>
  </si>
  <si>
    <t>Version 1.3:</t>
  </si>
  <si>
    <r>
      <rPr>
        <sz val="11"/>
        <color theme="1"/>
        <rFont val="Calibri"/>
        <family val="2"/>
      </rPr>
      <t>•</t>
    </r>
    <r>
      <rPr>
        <sz val="11"/>
        <color theme="1"/>
        <rFont val="Arial"/>
        <family val="2"/>
      </rPr>
      <t xml:space="preserve"> Class 6 - restaurant, cafes, bars</t>
    </r>
  </si>
  <si>
    <r>
      <rPr>
        <sz val="11"/>
        <color theme="1"/>
        <rFont val="Calibri"/>
        <family val="2"/>
      </rPr>
      <t>•</t>
    </r>
    <r>
      <rPr>
        <sz val="11"/>
        <color theme="1"/>
        <rFont val="Arial"/>
        <family val="2"/>
      </rPr>
      <t xml:space="preserve"> Class 9b - theatres and cinemas with multiple auditoria, art galleria or the like</t>
    </r>
  </si>
  <si>
    <r>
      <rPr>
        <sz val="11"/>
        <color theme="1"/>
        <rFont val="Calibri"/>
        <family val="2"/>
      </rPr>
      <t>•</t>
    </r>
    <r>
      <rPr>
        <sz val="11"/>
        <color theme="1"/>
        <rFont val="Arial"/>
        <family val="2"/>
      </rPr>
      <t xml:space="preserve"> Class 9b - Single auditorium theatre and cinemas</t>
    </r>
  </si>
  <si>
    <r>
      <rPr>
        <sz val="11"/>
        <color theme="1"/>
        <rFont val="Calibri"/>
        <family val="2"/>
      </rPr>
      <t>•</t>
    </r>
    <r>
      <rPr>
        <sz val="11"/>
        <color theme="1"/>
        <rFont val="Arial"/>
        <family val="2"/>
      </rPr>
      <t xml:space="preserve"> Class 9b - schools</t>
    </r>
  </si>
  <si>
    <r>
      <rPr>
        <sz val="11"/>
        <color theme="1"/>
        <rFont val="Calibri"/>
        <family val="2"/>
      </rPr>
      <t>•</t>
    </r>
    <r>
      <rPr>
        <sz val="11"/>
        <color theme="1"/>
        <rFont val="Arial"/>
        <family val="2"/>
      </rPr>
      <t xml:space="preserve"> Class 9b - public halls, function rooms or the like</t>
    </r>
  </si>
  <si>
    <r>
      <rPr>
        <sz val="11"/>
        <color theme="1"/>
        <rFont val="Calibri"/>
        <family val="2"/>
      </rPr>
      <t>•</t>
    </r>
    <r>
      <rPr>
        <sz val="11"/>
        <color theme="1"/>
        <rFont val="Arial"/>
        <family val="2"/>
      </rPr>
      <t xml:space="preserve"> Class 9b - sports venues or the like</t>
    </r>
  </si>
  <si>
    <t>This version fixes a cell referencing error which affected some calculations for patrons/students for the following classes of buildings:</t>
  </si>
</sst>
</file>

<file path=xl/styles.xml><?xml version="1.0" encoding="utf-8"?>
<styleSheet xmlns="http://schemas.openxmlformats.org/spreadsheetml/2006/main" xmlns:mc="http://schemas.openxmlformats.org/markup-compatibility/2006" xmlns:x14ac="http://schemas.microsoft.com/office/spreadsheetml/2009/9/ac" mc:Ignorable="x14ac">
  <fonts count="54" x14ac:knownFonts="1">
    <font>
      <sz val="11"/>
      <color theme="1"/>
      <name val="Calibri"/>
      <family val="2"/>
      <scheme val="minor"/>
    </font>
    <font>
      <b/>
      <sz val="11"/>
      <color theme="1"/>
      <name val="Calibri"/>
      <family val="2"/>
      <scheme val="minor"/>
    </font>
    <font>
      <sz val="11"/>
      <name val="Calibri"/>
      <family val="2"/>
      <scheme val="minor"/>
    </font>
    <font>
      <b/>
      <sz val="20"/>
      <color theme="0"/>
      <name val="Calibri"/>
      <family val="2"/>
      <scheme val="minor"/>
    </font>
    <font>
      <b/>
      <sz val="10"/>
      <name val="Arial"/>
      <family val="2"/>
    </font>
    <font>
      <sz val="10"/>
      <name val="Arial"/>
      <family val="2"/>
    </font>
    <font>
      <sz val="9"/>
      <color indexed="81"/>
      <name val="Tahoma"/>
      <family val="2"/>
    </font>
    <font>
      <b/>
      <sz val="9"/>
      <color indexed="81"/>
      <name val="Tahoma"/>
      <family val="2"/>
    </font>
    <font>
      <i/>
      <sz val="10"/>
      <name val="Arial"/>
      <family val="2"/>
    </font>
    <font>
      <b/>
      <i/>
      <sz val="10"/>
      <name val="Arial"/>
      <family val="2"/>
    </font>
    <font>
      <b/>
      <sz val="11"/>
      <name val="Calibri"/>
      <family val="2"/>
      <scheme val="minor"/>
    </font>
    <font>
      <sz val="9"/>
      <name val="Calibri"/>
      <family val="2"/>
      <scheme val="minor"/>
    </font>
    <font>
      <sz val="11"/>
      <color theme="0"/>
      <name val="Calibri"/>
      <family val="2"/>
      <scheme val="minor"/>
    </font>
    <font>
      <sz val="9"/>
      <color theme="0"/>
      <name val="Calibri"/>
      <family val="2"/>
      <scheme val="minor"/>
    </font>
    <font>
      <b/>
      <sz val="28"/>
      <color theme="0"/>
      <name val="Calibri"/>
      <family val="2"/>
      <scheme val="minor"/>
    </font>
    <font>
      <sz val="14"/>
      <color theme="1"/>
      <name val="Calibri"/>
      <family val="2"/>
      <scheme val="minor"/>
    </font>
    <font>
      <b/>
      <sz val="38"/>
      <color theme="0"/>
      <name val="Calibri"/>
      <family val="2"/>
      <scheme val="minor"/>
    </font>
    <font>
      <b/>
      <sz val="16"/>
      <color theme="0"/>
      <name val="Arial"/>
      <family val="2"/>
    </font>
    <font>
      <b/>
      <sz val="20"/>
      <color theme="1"/>
      <name val="Arial"/>
      <family val="2"/>
    </font>
    <font>
      <sz val="12"/>
      <color theme="1"/>
      <name val="Arial"/>
      <family val="2"/>
    </font>
    <font>
      <b/>
      <sz val="12"/>
      <color theme="1"/>
      <name val="Arial"/>
      <family val="2"/>
    </font>
    <font>
      <b/>
      <sz val="12"/>
      <color rgb="FFFD8A25"/>
      <name val="Arial"/>
      <family val="2"/>
    </font>
    <font>
      <sz val="11"/>
      <color rgb="FFC9D9DB"/>
      <name val="Calibri"/>
      <family val="2"/>
      <scheme val="minor"/>
    </font>
    <font>
      <sz val="14"/>
      <color rgb="FFC9D9DB"/>
      <name val="Calibri"/>
      <family val="2"/>
      <scheme val="minor"/>
    </font>
    <font>
      <b/>
      <u/>
      <sz val="12"/>
      <color theme="1"/>
      <name val="Arial"/>
      <family val="2"/>
    </font>
    <font>
      <u/>
      <sz val="11"/>
      <color theme="10"/>
      <name val="Calibri"/>
      <family val="2"/>
      <scheme val="minor"/>
    </font>
    <font>
      <u/>
      <sz val="11"/>
      <color theme="0"/>
      <name val="Calibri"/>
      <family val="2"/>
      <scheme val="minor"/>
    </font>
    <font>
      <b/>
      <sz val="18"/>
      <color theme="0"/>
      <name val="Arial"/>
      <family val="2"/>
    </font>
    <font>
      <b/>
      <sz val="12"/>
      <name val="Arial"/>
      <family val="2"/>
    </font>
    <font>
      <sz val="9"/>
      <color rgb="FF000000"/>
      <name val="Arial"/>
      <family val="2"/>
    </font>
    <font>
      <sz val="9"/>
      <color theme="1"/>
      <name val="Arial"/>
      <family val="2"/>
    </font>
    <font>
      <b/>
      <sz val="11"/>
      <name val="Arial"/>
      <family val="2"/>
    </font>
    <font>
      <sz val="11"/>
      <name val="Arial"/>
      <family val="2"/>
    </font>
    <font>
      <sz val="9"/>
      <name val="Arial"/>
      <family val="2"/>
    </font>
    <font>
      <b/>
      <sz val="9"/>
      <name val="Arial"/>
      <family val="2"/>
    </font>
    <font>
      <i/>
      <sz val="9"/>
      <name val="Arial"/>
      <family val="2"/>
    </font>
    <font>
      <b/>
      <sz val="20"/>
      <color theme="0"/>
      <name val="Arial"/>
      <family val="2"/>
    </font>
    <font>
      <b/>
      <sz val="14"/>
      <name val="Arial"/>
      <family val="2"/>
    </font>
    <font>
      <b/>
      <sz val="18"/>
      <name val="Arial"/>
      <family val="2"/>
    </font>
    <font>
      <sz val="11"/>
      <color theme="1"/>
      <name val="Arial"/>
      <family val="2"/>
    </font>
    <font>
      <b/>
      <sz val="14"/>
      <color theme="1"/>
      <name val="Arial"/>
      <family val="2"/>
    </font>
    <font>
      <b/>
      <sz val="14"/>
      <name val="Calibri"/>
      <family val="2"/>
      <scheme val="minor"/>
    </font>
    <font>
      <sz val="11"/>
      <name val="Symbol"/>
      <family val="1"/>
      <charset val="2"/>
    </font>
    <font>
      <i/>
      <sz val="11"/>
      <name val="Calibri"/>
      <family val="2"/>
      <scheme val="minor"/>
    </font>
    <font>
      <sz val="9"/>
      <color indexed="81"/>
      <name val="Arial"/>
      <family val="2"/>
    </font>
    <font>
      <sz val="10"/>
      <color indexed="81"/>
      <name val="Arial"/>
      <family val="2"/>
    </font>
    <font>
      <b/>
      <sz val="10"/>
      <color indexed="81"/>
      <name val="Arial"/>
      <family val="2"/>
    </font>
    <font>
      <sz val="7"/>
      <name val="Arial"/>
      <family val="2"/>
    </font>
    <font>
      <i/>
      <sz val="11"/>
      <name val="Arial"/>
      <family val="2"/>
    </font>
    <font>
      <vertAlign val="superscript"/>
      <sz val="11"/>
      <name val="Arial"/>
      <family val="2"/>
    </font>
    <font>
      <b/>
      <sz val="14"/>
      <color rgb="FFD7CCB7"/>
      <name val="Arial"/>
      <family val="2"/>
    </font>
    <font>
      <b/>
      <sz val="9"/>
      <color rgb="FF000000"/>
      <name val="Arial"/>
      <family val="2"/>
    </font>
    <font>
      <sz val="11"/>
      <color theme="1"/>
      <name val="Calibri"/>
      <family val="2"/>
    </font>
    <font>
      <b/>
      <sz val="11"/>
      <color theme="1"/>
      <name val="Arial"/>
      <family val="2"/>
    </font>
  </fonts>
  <fills count="15">
    <fill>
      <patternFill patternType="none"/>
    </fill>
    <fill>
      <patternFill patternType="gray125"/>
    </fill>
    <fill>
      <patternFill patternType="solid">
        <fgColor theme="9" tint="0.59999389629810485"/>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0"/>
        <bgColor indexed="64"/>
      </patternFill>
    </fill>
    <fill>
      <patternFill patternType="solid">
        <fgColor rgb="FF234396"/>
        <bgColor indexed="64"/>
      </patternFill>
    </fill>
    <fill>
      <patternFill patternType="solid">
        <fgColor rgb="FFFF99FF"/>
        <bgColor indexed="64"/>
      </patternFill>
    </fill>
    <fill>
      <patternFill patternType="solid">
        <fgColor rgb="FFA78F64"/>
        <bgColor indexed="64"/>
      </patternFill>
    </fill>
    <fill>
      <patternFill patternType="solid">
        <fgColor rgb="FFD7CCB7"/>
        <bgColor indexed="64"/>
      </patternFill>
    </fill>
    <fill>
      <patternFill patternType="solid">
        <fgColor rgb="FF999FA7"/>
        <bgColor indexed="64"/>
      </patternFill>
    </fill>
    <fill>
      <patternFill patternType="solid">
        <fgColor rgb="FFDBD2C2"/>
        <bgColor indexed="64"/>
      </patternFill>
    </fill>
    <fill>
      <patternFill patternType="solid">
        <fgColor rgb="FFC7CBCE"/>
        <bgColor indexed="64"/>
      </patternFill>
    </fill>
    <fill>
      <patternFill patternType="solid">
        <fgColor rgb="FFA8B5D4"/>
        <bgColor indexed="64"/>
      </patternFill>
    </fill>
    <fill>
      <patternFill patternType="solid">
        <fgColor rgb="FFC9CBCD"/>
        <bgColor indexed="64"/>
      </patternFill>
    </fill>
  </fills>
  <borders count="38">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diagonal/>
    </border>
    <border>
      <left style="medium">
        <color auto="1"/>
      </left>
      <right style="medium">
        <color auto="1"/>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top style="thin">
        <color auto="1"/>
      </top>
      <bottom style="thin">
        <color auto="1"/>
      </bottom>
      <diagonal/>
    </border>
    <border>
      <left/>
      <right/>
      <top style="thin">
        <color indexed="64"/>
      </top>
      <bottom/>
      <diagonal/>
    </border>
    <border>
      <left/>
      <right/>
      <top/>
      <bottom style="thin">
        <color indexed="64"/>
      </bottom>
      <diagonal/>
    </border>
    <border>
      <left style="thin">
        <color indexed="64"/>
      </left>
      <right style="medium">
        <color indexed="64"/>
      </right>
      <top/>
      <bottom/>
      <diagonal/>
    </border>
  </borders>
  <cellStyleXfs count="2">
    <xf numFmtId="0" fontId="0" fillId="0" borderId="0"/>
    <xf numFmtId="0" fontId="25" fillId="0" borderId="0" applyNumberFormat="0" applyFill="0" applyBorder="0" applyAlignment="0" applyProtection="0"/>
  </cellStyleXfs>
  <cellXfs count="314">
    <xf numFmtId="0" fontId="0" fillId="0" borderId="0" xfId="0"/>
    <xf numFmtId="0" fontId="1" fillId="0" borderId="0" xfId="0" applyFont="1" applyBorder="1" applyAlignment="1">
      <alignment horizontal="center" vertical="center"/>
    </xf>
    <xf numFmtId="0" fontId="0" fillId="0" borderId="0" xfId="0" applyBorder="1"/>
    <xf numFmtId="0" fontId="1" fillId="0" borderId="0" xfId="0" applyFont="1" applyFill="1" applyBorder="1" applyAlignment="1">
      <alignment horizontal="center" vertical="center"/>
    </xf>
    <xf numFmtId="0" fontId="0" fillId="2" borderId="0" xfId="0" applyFill="1"/>
    <xf numFmtId="0" fontId="0" fillId="2" borderId="1" xfId="0" applyFill="1" applyBorder="1" applyAlignment="1">
      <alignment horizontal="right"/>
    </xf>
    <xf numFmtId="0" fontId="0" fillId="0" borderId="0" xfId="0" applyFill="1" applyBorder="1"/>
    <xf numFmtId="0" fontId="0" fillId="0" borderId="1" xfId="0" applyBorder="1" applyAlignment="1">
      <alignment horizontal="center"/>
    </xf>
    <xf numFmtId="0" fontId="4" fillId="0" borderId="13" xfId="0" applyFont="1" applyBorder="1" applyAlignment="1">
      <alignment horizontal="center"/>
    </xf>
    <xf numFmtId="0" fontId="0" fillId="0" borderId="6" xfId="0" applyFill="1" applyBorder="1" applyAlignment="1">
      <alignment horizontal="center"/>
    </xf>
    <xf numFmtId="0" fontId="0" fillId="0" borderId="6" xfId="0" applyBorder="1" applyAlignment="1">
      <alignment horizontal="center"/>
    </xf>
    <xf numFmtId="0" fontId="0" fillId="0" borderId="9" xfId="0" applyFill="1" applyBorder="1" applyAlignment="1">
      <alignment horizontal="center"/>
    </xf>
    <xf numFmtId="0" fontId="0" fillId="0" borderId="9" xfId="0" applyBorder="1" applyAlignment="1">
      <alignment horizontal="center"/>
    </xf>
    <xf numFmtId="0" fontId="0" fillId="0" borderId="4" xfId="0" applyFill="1" applyBorder="1" applyAlignment="1">
      <alignment horizontal="center"/>
    </xf>
    <xf numFmtId="0" fontId="0" fillId="0" borderId="4" xfId="0" applyBorder="1" applyAlignment="1">
      <alignment horizontal="center"/>
    </xf>
    <xf numFmtId="0" fontId="0" fillId="3" borderId="10" xfId="0" applyFont="1" applyFill="1" applyBorder="1" applyAlignment="1">
      <alignment wrapText="1"/>
    </xf>
    <xf numFmtId="0" fontId="0" fillId="3" borderId="11" xfId="0" applyFont="1" applyFill="1" applyBorder="1" applyAlignment="1">
      <alignment wrapText="1"/>
    </xf>
    <xf numFmtId="0" fontId="0" fillId="0" borderId="5" xfId="0" applyFill="1" applyBorder="1" applyAlignment="1">
      <alignment wrapText="1"/>
    </xf>
    <xf numFmtId="0" fontId="4" fillId="3" borderId="1" xfId="0" applyFont="1" applyFill="1" applyBorder="1"/>
    <xf numFmtId="0" fontId="0" fillId="3" borderId="16" xfId="0" applyFill="1" applyBorder="1"/>
    <xf numFmtId="0" fontId="0" fillId="3" borderId="17" xfId="0" applyFill="1" applyBorder="1"/>
    <xf numFmtId="0" fontId="0" fillId="3" borderId="2" xfId="0" applyFill="1" applyBorder="1"/>
    <xf numFmtId="0" fontId="4" fillId="2" borderId="1" xfId="0" applyFont="1" applyFill="1" applyBorder="1" applyAlignment="1">
      <alignment horizontal="center"/>
    </xf>
    <xf numFmtId="0" fontId="0" fillId="2" borderId="16" xfId="0" applyFill="1" applyBorder="1" applyAlignment="1">
      <alignment horizontal="center"/>
    </xf>
    <xf numFmtId="0" fontId="0" fillId="2" borderId="17" xfId="0" applyFill="1" applyBorder="1" applyAlignment="1">
      <alignment horizontal="center"/>
    </xf>
    <xf numFmtId="0" fontId="0" fillId="2" borderId="2" xfId="0" applyFill="1" applyBorder="1" applyAlignment="1">
      <alignment horizontal="center"/>
    </xf>
    <xf numFmtId="0" fontId="0" fillId="0" borderId="0" xfId="0" applyFill="1" applyBorder="1" applyAlignment="1">
      <alignment wrapText="1"/>
    </xf>
    <xf numFmtId="0" fontId="0" fillId="0" borderId="8" xfId="0" applyFill="1" applyBorder="1" applyAlignment="1">
      <alignment wrapText="1"/>
    </xf>
    <xf numFmtId="0" fontId="4" fillId="0" borderId="1" xfId="0" applyFont="1" applyBorder="1" applyAlignment="1">
      <alignment horizontal="center" vertical="center"/>
    </xf>
    <xf numFmtId="0" fontId="0" fillId="2" borderId="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0" borderId="17" xfId="0" applyFill="1" applyBorder="1" applyAlignment="1">
      <alignment horizontal="center"/>
    </xf>
    <xf numFmtId="0" fontId="0" fillId="4" borderId="6" xfId="0" applyFill="1" applyBorder="1" applyAlignment="1">
      <alignment horizontal="center"/>
    </xf>
    <xf numFmtId="0" fontId="0" fillId="4" borderId="9" xfId="0" applyFill="1" applyBorder="1" applyAlignment="1">
      <alignment horizontal="center"/>
    </xf>
    <xf numFmtId="0" fontId="4" fillId="4" borderId="13" xfId="0" applyFont="1" applyFill="1" applyBorder="1" applyAlignment="1">
      <alignment horizontal="center"/>
    </xf>
    <xf numFmtId="0" fontId="0" fillId="4" borderId="4" xfId="0" applyFill="1" applyBorder="1" applyAlignment="1">
      <alignment horizontal="center"/>
    </xf>
    <xf numFmtId="0" fontId="4" fillId="0" borderId="13" xfId="0" applyFont="1" applyFill="1" applyBorder="1" applyAlignment="1">
      <alignment horizontal="center"/>
    </xf>
    <xf numFmtId="0" fontId="0" fillId="4" borderId="17" xfId="0" applyFill="1" applyBorder="1" applyAlignment="1">
      <alignment horizontal="center"/>
    </xf>
    <xf numFmtId="0" fontId="0" fillId="4" borderId="1" xfId="0" applyFill="1" applyBorder="1" applyAlignment="1">
      <alignment horizontal="center" vertical="center"/>
    </xf>
    <xf numFmtId="0" fontId="0" fillId="4" borderId="16" xfId="0" applyFill="1" applyBorder="1" applyAlignment="1">
      <alignment horizontal="center" vertical="center"/>
    </xf>
    <xf numFmtId="0" fontId="0" fillId="4" borderId="17" xfId="0" applyFill="1" applyBorder="1" applyAlignment="1">
      <alignment horizontal="center" vertical="center"/>
    </xf>
    <xf numFmtId="0" fontId="0" fillId="4" borderId="2" xfId="0" applyFill="1" applyBorder="1" applyAlignment="1">
      <alignment horizontal="center" vertical="center"/>
    </xf>
    <xf numFmtId="0" fontId="0" fillId="0" borderId="13" xfId="0" applyFill="1" applyBorder="1" applyAlignment="1">
      <alignment horizontal="center" vertical="center"/>
    </xf>
    <xf numFmtId="0" fontId="0" fillId="0" borderId="6" xfId="0" applyFill="1" applyBorder="1" applyAlignment="1">
      <alignment horizontal="center" vertical="center"/>
    </xf>
    <xf numFmtId="0" fontId="0" fillId="0" borderId="9" xfId="0" applyFill="1" applyBorder="1" applyAlignment="1">
      <alignment horizontal="center" vertical="center"/>
    </xf>
    <xf numFmtId="0" fontId="0" fillId="0" borderId="4" xfId="0" applyFill="1" applyBorder="1" applyAlignment="1">
      <alignment horizontal="center" vertical="center"/>
    </xf>
    <xf numFmtId="0" fontId="0" fillId="3" borderId="16" xfId="0" applyFill="1" applyBorder="1" applyAlignment="1">
      <alignment wrapText="1"/>
    </xf>
    <xf numFmtId="0" fontId="0" fillId="3" borderId="5" xfId="0" applyFill="1" applyBorder="1" applyAlignment="1">
      <alignment wrapText="1"/>
    </xf>
    <xf numFmtId="0" fontId="0" fillId="3" borderId="17" xfId="0" applyFill="1" applyBorder="1" applyAlignment="1">
      <alignment wrapText="1"/>
    </xf>
    <xf numFmtId="0" fontId="0" fillId="3" borderId="5" xfId="0" applyFill="1" applyBorder="1" applyAlignment="1"/>
    <xf numFmtId="0" fontId="0" fillId="3" borderId="17" xfId="0" applyFill="1" applyBorder="1" applyAlignment="1"/>
    <xf numFmtId="0" fontId="0" fillId="3" borderId="0" xfId="0" applyFill="1" applyBorder="1" applyAlignment="1">
      <alignment wrapText="1"/>
    </xf>
    <xf numFmtId="0" fontId="0" fillId="3" borderId="9" xfId="0" applyFill="1" applyBorder="1" applyAlignment="1">
      <alignment wrapText="1"/>
    </xf>
    <xf numFmtId="0" fontId="1" fillId="0" borderId="0" xfId="0" applyFont="1" applyFill="1" applyBorder="1" applyAlignment="1">
      <alignment horizontal="center"/>
    </xf>
    <xf numFmtId="0" fontId="0" fillId="0" borderId="0" xfId="0" applyFill="1" applyBorder="1" applyAlignment="1">
      <alignment horizontal="right"/>
    </xf>
    <xf numFmtId="0" fontId="0" fillId="0" borderId="0" xfId="0" applyFill="1" applyBorder="1" applyAlignment="1">
      <alignment horizontal="center"/>
    </xf>
    <xf numFmtId="0" fontId="3" fillId="0" borderId="0" xfId="0" applyFont="1" applyFill="1" applyBorder="1" applyAlignment="1">
      <alignment horizontal="center" vertical="center"/>
    </xf>
    <xf numFmtId="0" fontId="0" fillId="0" borderId="0" xfId="0" applyFill="1" applyBorder="1" applyAlignment="1">
      <alignment horizontal="left"/>
    </xf>
    <xf numFmtId="0" fontId="0" fillId="2" borderId="0" xfId="0" applyFill="1" applyAlignment="1">
      <alignment horizontal="center"/>
    </xf>
    <xf numFmtId="0" fontId="1" fillId="2" borderId="1" xfId="0" applyFont="1" applyFill="1" applyBorder="1" applyAlignment="1">
      <alignment horizontal="center" vertical="center" wrapText="1"/>
    </xf>
    <xf numFmtId="0" fontId="0" fillId="0" borderId="0" xfId="0" applyAlignment="1">
      <alignment horizontal="center"/>
    </xf>
    <xf numFmtId="0" fontId="4" fillId="0" borderId="15" xfId="0" applyFont="1" applyBorder="1" applyAlignment="1">
      <alignment horizontal="center"/>
    </xf>
    <xf numFmtId="0" fontId="0" fillId="0" borderId="0" xfId="0" applyBorder="1" applyAlignment="1">
      <alignment horizontal="center"/>
    </xf>
    <xf numFmtId="0" fontId="0" fillId="3" borderId="12" xfId="0" applyFont="1" applyFill="1" applyBorder="1" applyAlignment="1">
      <alignment horizontal="center" wrapText="1"/>
    </xf>
    <xf numFmtId="0" fontId="0" fillId="0" borderId="6" xfId="0" applyFill="1" applyBorder="1" applyAlignment="1">
      <alignment horizontal="center" wrapText="1"/>
    </xf>
    <xf numFmtId="0" fontId="4" fillId="3" borderId="1" xfId="0" applyFont="1" applyFill="1" applyBorder="1" applyAlignment="1">
      <alignment horizontal="center"/>
    </xf>
    <xf numFmtId="0" fontId="0" fillId="3" borderId="16" xfId="0" applyFill="1" applyBorder="1" applyAlignment="1">
      <alignment horizontal="center"/>
    </xf>
    <xf numFmtId="0" fontId="0" fillId="3" borderId="17" xfId="0" applyFill="1" applyBorder="1" applyAlignment="1">
      <alignment horizontal="center"/>
    </xf>
    <xf numFmtId="0" fontId="0" fillId="3" borderId="2" xfId="0" applyFill="1" applyBorder="1" applyAlignment="1">
      <alignment horizontal="center"/>
    </xf>
    <xf numFmtId="0" fontId="5" fillId="3" borderId="16" xfId="0" applyFont="1" applyFill="1" applyBorder="1" applyAlignment="1">
      <alignment horizontal="center"/>
    </xf>
    <xf numFmtId="0" fontId="5" fillId="3" borderId="17" xfId="0" applyFont="1" applyFill="1" applyBorder="1" applyAlignment="1">
      <alignment horizontal="center"/>
    </xf>
    <xf numFmtId="0" fontId="0" fillId="2" borderId="1" xfId="0" applyFill="1" applyBorder="1" applyAlignment="1">
      <alignment horizontal="center" vertical="center"/>
    </xf>
    <xf numFmtId="0" fontId="0" fillId="0" borderId="1" xfId="0" applyBorder="1" applyAlignment="1">
      <alignment horizontal="center" vertical="center"/>
    </xf>
    <xf numFmtId="0" fontId="0" fillId="2" borderId="0" xfId="0" applyFill="1" applyAlignment="1">
      <alignment horizontal="center" vertical="center"/>
    </xf>
    <xf numFmtId="0" fontId="0" fillId="2" borderId="0" xfId="0" applyFill="1" applyBorder="1" applyAlignment="1">
      <alignment horizontal="center" vertical="center"/>
    </xf>
    <xf numFmtId="0" fontId="0" fillId="0" borderId="2" xfId="0" applyFill="1" applyBorder="1" applyAlignment="1">
      <alignment horizontal="center"/>
    </xf>
    <xf numFmtId="0" fontId="0" fillId="0" borderId="16" xfId="0" applyFill="1" applyBorder="1" applyAlignment="1">
      <alignment horizontal="center"/>
    </xf>
    <xf numFmtId="0" fontId="0" fillId="0" borderId="0" xfId="0" applyProtection="1"/>
    <xf numFmtId="0" fontId="4" fillId="0" borderId="0" xfId="0" applyFont="1" applyProtection="1"/>
    <xf numFmtId="0" fontId="8" fillId="0" borderId="0" xfId="0" applyFont="1" applyProtection="1"/>
    <xf numFmtId="0" fontId="9" fillId="0" borderId="0" xfId="0" applyFont="1" applyProtection="1"/>
    <xf numFmtId="0" fontId="0" fillId="0" borderId="0" xfId="0" applyProtection="1">
      <protection locked="0"/>
    </xf>
    <xf numFmtId="0" fontId="0" fillId="0" borderId="8" xfId="0" applyBorder="1"/>
    <xf numFmtId="0" fontId="0" fillId="3" borderId="0" xfId="0" applyFill="1" applyBorder="1"/>
    <xf numFmtId="0" fontId="0" fillId="3" borderId="8" xfId="0" applyFill="1" applyBorder="1"/>
    <xf numFmtId="0" fontId="0" fillId="2" borderId="0" xfId="0" applyFill="1" applyBorder="1"/>
    <xf numFmtId="0" fontId="0" fillId="2" borderId="8" xfId="0" applyFill="1" applyBorder="1"/>
    <xf numFmtId="0" fontId="0" fillId="4" borderId="2" xfId="0" applyFill="1" applyBorder="1"/>
    <xf numFmtId="0" fontId="0" fillId="0" borderId="2" xfId="0" applyBorder="1"/>
    <xf numFmtId="0" fontId="0" fillId="2" borderId="2" xfId="0" applyFill="1" applyBorder="1"/>
    <xf numFmtId="0" fontId="0" fillId="4" borderId="16" xfId="0" applyFill="1" applyBorder="1"/>
    <xf numFmtId="0" fontId="0" fillId="0" borderId="16" xfId="0" applyBorder="1"/>
    <xf numFmtId="0" fontId="0" fillId="2" borderId="16" xfId="0" applyFill="1" applyBorder="1"/>
    <xf numFmtId="0" fontId="0" fillId="4" borderId="17" xfId="0" applyFill="1" applyBorder="1"/>
    <xf numFmtId="0" fontId="0" fillId="0" borderId="17" xfId="0" applyBorder="1"/>
    <xf numFmtId="0" fontId="0" fillId="2" borderId="17" xfId="0" applyFill="1" applyBorder="1"/>
    <xf numFmtId="0" fontId="0" fillId="0" borderId="17" xfId="0" applyFill="1" applyBorder="1"/>
    <xf numFmtId="0" fontId="0" fillId="0" borderId="17" xfId="0" applyBorder="1" applyAlignment="1">
      <alignment horizontal="center"/>
    </xf>
    <xf numFmtId="0" fontId="1" fillId="0" borderId="0" xfId="0" applyFont="1" applyFill="1" applyBorder="1" applyAlignment="1">
      <alignment horizontal="left" vertical="top"/>
    </xf>
    <xf numFmtId="0" fontId="0" fillId="3" borderId="5" xfId="0" applyFill="1" applyBorder="1"/>
    <xf numFmtId="0" fontId="0" fillId="3" borderId="7" xfId="0" applyFill="1" applyBorder="1"/>
    <xf numFmtId="0" fontId="0" fillId="4" borderId="16" xfId="0" applyFill="1" applyBorder="1" applyAlignment="1">
      <alignment horizontal="center"/>
    </xf>
    <xf numFmtId="0" fontId="0" fillId="4" borderId="2" xfId="0" applyFill="1" applyBorder="1" applyAlignment="1">
      <alignment horizontal="center"/>
    </xf>
    <xf numFmtId="0" fontId="0" fillId="2" borderId="0" xfId="0" applyFont="1" applyFill="1" applyBorder="1" applyAlignment="1">
      <alignment horizontal="center" vertical="center"/>
    </xf>
    <xf numFmtId="0" fontId="0" fillId="2" borderId="1" xfId="0" applyFont="1" applyFill="1" applyBorder="1" applyAlignment="1">
      <alignment horizontal="center" vertical="center"/>
    </xf>
    <xf numFmtId="0" fontId="0" fillId="2" borderId="15" xfId="0" applyFill="1" applyBorder="1" applyAlignment="1">
      <alignment horizontal="center" vertical="center"/>
    </xf>
    <xf numFmtId="0" fontId="0" fillId="2" borderId="16" xfId="0" applyFont="1" applyFill="1" applyBorder="1" applyAlignment="1">
      <alignment horizontal="center" vertical="center" wrapText="1"/>
    </xf>
    <xf numFmtId="0" fontId="0" fillId="2" borderId="16" xfId="0" applyFont="1" applyFill="1" applyBorder="1" applyAlignment="1">
      <alignment horizontal="center" vertical="center"/>
    </xf>
    <xf numFmtId="0" fontId="0" fillId="0" borderId="0" xfId="0" applyBorder="1" applyAlignment="1">
      <alignment horizontal="center" vertical="center"/>
    </xf>
    <xf numFmtId="0" fontId="0" fillId="3" borderId="3" xfId="0" applyFill="1" applyBorder="1"/>
    <xf numFmtId="0" fontId="0" fillId="0" borderId="0" xfId="0" applyFill="1" applyBorder="1" applyProtection="1"/>
    <xf numFmtId="0" fontId="0" fillId="0" borderId="0" xfId="0" applyFill="1" applyBorder="1" applyAlignment="1" applyProtection="1">
      <alignment horizontal="center"/>
    </xf>
    <xf numFmtId="0" fontId="2" fillId="0" borderId="0" xfId="0" applyFont="1" applyProtection="1"/>
    <xf numFmtId="0" fontId="2" fillId="0" borderId="0" xfId="0" applyFont="1" applyFill="1" applyBorder="1" applyAlignment="1" applyProtection="1">
      <alignment horizontal="center"/>
    </xf>
    <xf numFmtId="0" fontId="2" fillId="5" borderId="0" xfId="0" applyFont="1" applyFill="1" applyBorder="1" applyProtection="1"/>
    <xf numFmtId="0" fontId="2" fillId="5" borderId="0" xfId="0" applyFont="1" applyFill="1" applyProtection="1"/>
    <xf numFmtId="0" fontId="2" fillId="0" borderId="0" xfId="0" applyFont="1" applyBorder="1" applyProtection="1"/>
    <xf numFmtId="0" fontId="11" fillId="5" borderId="0" xfId="0" applyFont="1" applyFill="1" applyBorder="1" applyProtection="1"/>
    <xf numFmtId="0" fontId="11" fillId="5" borderId="0" xfId="0" applyFont="1" applyFill="1" applyBorder="1" applyAlignment="1" applyProtection="1">
      <alignment vertical="top" wrapText="1"/>
    </xf>
    <xf numFmtId="0" fontId="11" fillId="0" borderId="0" xfId="0" applyFont="1" applyBorder="1" applyAlignment="1" applyProtection="1">
      <alignment horizontal="left" vertical="top" wrapText="1"/>
    </xf>
    <xf numFmtId="0" fontId="11" fillId="0" borderId="0" xfId="0" applyFont="1" applyBorder="1" applyProtection="1"/>
    <xf numFmtId="0" fontId="11" fillId="0" borderId="0" xfId="0" applyFont="1" applyAlignment="1" applyProtection="1">
      <alignment horizontal="left" vertical="top" wrapText="1"/>
    </xf>
    <xf numFmtId="0" fontId="11" fillId="0" borderId="0" xfId="0" applyFont="1" applyProtection="1"/>
    <xf numFmtId="0" fontId="12" fillId="0" borderId="0" xfId="0" applyFont="1" applyProtection="1"/>
    <xf numFmtId="0" fontId="12" fillId="0" borderId="0" xfId="0" applyFont="1" applyBorder="1" applyProtection="1"/>
    <xf numFmtId="0" fontId="13" fillId="0" borderId="0" xfId="0" applyFont="1" applyBorder="1" applyAlignment="1" applyProtection="1">
      <alignment horizontal="left" vertical="top" wrapText="1"/>
    </xf>
    <xf numFmtId="0" fontId="13" fillId="0" borderId="0" xfId="0" applyFont="1" applyAlignment="1" applyProtection="1">
      <alignment horizontal="left" vertical="top" wrapText="1"/>
    </xf>
    <xf numFmtId="0" fontId="12" fillId="5" borderId="0" xfId="0" applyFont="1" applyFill="1" applyBorder="1" applyProtection="1"/>
    <xf numFmtId="0" fontId="13" fillId="5" borderId="0" xfId="0" applyFont="1" applyFill="1" applyBorder="1" applyAlignment="1" applyProtection="1">
      <alignment vertical="top" wrapText="1"/>
    </xf>
    <xf numFmtId="0" fontId="2" fillId="0" borderId="0" xfId="0" applyFont="1" applyFill="1" applyBorder="1" applyAlignment="1" applyProtection="1">
      <alignment horizontal="left" vertical="center" wrapText="1"/>
    </xf>
    <xf numFmtId="0" fontId="10" fillId="0" borderId="0" xfId="0" applyFont="1" applyFill="1" applyBorder="1" applyAlignment="1" applyProtection="1">
      <alignment horizontal="left" vertical="center" wrapText="1"/>
    </xf>
    <xf numFmtId="0" fontId="2" fillId="5" borderId="0" xfId="0" applyNumberFormat="1" applyFont="1" applyFill="1" applyBorder="1" applyProtection="1"/>
    <xf numFmtId="0" fontId="2" fillId="5" borderId="0" xfId="0" applyNumberFormat="1" applyFont="1" applyFill="1" applyBorder="1" applyAlignment="1" applyProtection="1">
      <alignment horizontal="center"/>
    </xf>
    <xf numFmtId="0" fontId="2" fillId="5" borderId="19" xfId="0" applyNumberFormat="1" applyFont="1" applyFill="1" applyBorder="1" applyProtection="1"/>
    <xf numFmtId="0" fontId="2" fillId="5" borderId="20" xfId="0" applyNumberFormat="1" applyFont="1" applyFill="1" applyBorder="1" applyAlignment="1" applyProtection="1">
      <alignment vertical="center"/>
    </xf>
    <xf numFmtId="0" fontId="2" fillId="5" borderId="21" xfId="0" applyNumberFormat="1" applyFont="1" applyFill="1" applyBorder="1" applyAlignment="1" applyProtection="1">
      <alignment vertical="center"/>
    </xf>
    <xf numFmtId="0" fontId="2" fillId="5" borderId="22" xfId="0" applyNumberFormat="1" applyFont="1" applyFill="1" applyBorder="1" applyAlignment="1" applyProtection="1">
      <alignment horizontal="center" vertical="center" wrapText="1"/>
    </xf>
    <xf numFmtId="0" fontId="2" fillId="5" borderId="23" xfId="0" applyNumberFormat="1" applyFont="1" applyFill="1" applyBorder="1" applyProtection="1"/>
    <xf numFmtId="0" fontId="2" fillId="5" borderId="24" xfId="0" applyNumberFormat="1" applyFont="1" applyFill="1" applyBorder="1" applyAlignment="1" applyProtection="1">
      <alignment horizontal="center"/>
    </xf>
    <xf numFmtId="0" fontId="2" fillId="0" borderId="23" xfId="0" applyNumberFormat="1" applyFont="1" applyFill="1" applyBorder="1" applyProtection="1"/>
    <xf numFmtId="0" fontId="2" fillId="5" borderId="25" xfId="0" applyNumberFormat="1" applyFont="1" applyFill="1" applyBorder="1" applyProtection="1"/>
    <xf numFmtId="0" fontId="2" fillId="5" borderId="26" xfId="0" applyNumberFormat="1" applyFont="1" applyFill="1" applyBorder="1" applyProtection="1"/>
    <xf numFmtId="0" fontId="2" fillId="5" borderId="27" xfId="0" applyNumberFormat="1" applyFont="1" applyFill="1" applyBorder="1" applyAlignment="1" applyProtection="1">
      <alignment horizontal="center"/>
    </xf>
    <xf numFmtId="0" fontId="2" fillId="0" borderId="0" xfId="0" applyNumberFormat="1" applyFont="1" applyBorder="1" applyProtection="1"/>
    <xf numFmtId="0" fontId="2" fillId="5" borderId="28" xfId="0" applyNumberFormat="1" applyFont="1" applyFill="1" applyBorder="1" applyProtection="1"/>
    <xf numFmtId="0" fontId="0" fillId="0" borderId="3" xfId="0" applyBorder="1"/>
    <xf numFmtId="0" fontId="0" fillId="0" borderId="3" xfId="0" applyBorder="1" applyAlignment="1">
      <alignment horizontal="center"/>
    </xf>
    <xf numFmtId="0" fontId="0" fillId="0" borderId="3" xfId="0" applyFill="1" applyBorder="1"/>
    <xf numFmtId="0" fontId="17" fillId="6" borderId="0" xfId="0" applyFont="1" applyFill="1" applyBorder="1" applyAlignment="1" applyProtection="1">
      <alignment vertical="center"/>
    </xf>
    <xf numFmtId="0" fontId="16" fillId="6" borderId="0" xfId="0" applyFont="1" applyFill="1" applyBorder="1" applyAlignment="1" applyProtection="1">
      <alignment vertical="center"/>
    </xf>
    <xf numFmtId="0" fontId="0" fillId="6" borderId="0" xfId="0" applyFill="1" applyBorder="1" applyProtection="1"/>
    <xf numFmtId="0" fontId="0" fillId="6" borderId="0" xfId="0" applyFill="1" applyProtection="1"/>
    <xf numFmtId="0" fontId="0" fillId="7" borderId="0" xfId="0" applyFill="1"/>
    <xf numFmtId="0" fontId="29" fillId="0" borderId="0" xfId="0" applyFont="1" applyAlignment="1">
      <alignment vertical="top" wrapText="1"/>
    </xf>
    <xf numFmtId="0" fontId="32" fillId="5" borderId="21" xfId="0" applyNumberFormat="1" applyFont="1" applyFill="1" applyBorder="1" applyProtection="1"/>
    <xf numFmtId="0" fontId="32" fillId="5" borderId="21" xfId="0" applyNumberFormat="1" applyFont="1" applyFill="1" applyBorder="1" applyAlignment="1" applyProtection="1">
      <alignment horizontal="left" vertical="top"/>
    </xf>
    <xf numFmtId="0" fontId="32" fillId="5" borderId="22" xfId="0" applyNumberFormat="1" applyFont="1" applyFill="1" applyBorder="1" applyAlignment="1" applyProtection="1">
      <alignment horizontal="left" vertical="top"/>
    </xf>
    <xf numFmtId="0" fontId="32" fillId="5" borderId="19" xfId="0" applyNumberFormat="1" applyFont="1" applyFill="1" applyBorder="1" applyProtection="1"/>
    <xf numFmtId="0" fontId="33" fillId="5" borderId="19" xfId="0" applyNumberFormat="1" applyFont="1" applyFill="1" applyBorder="1" applyAlignment="1" applyProtection="1">
      <alignment horizontal="left" vertical="top" wrapText="1"/>
    </xf>
    <xf numFmtId="0" fontId="32" fillId="5" borderId="19" xfId="0" applyNumberFormat="1" applyFont="1" applyFill="1" applyBorder="1" applyAlignment="1" applyProtection="1">
      <alignment horizontal="left" vertical="top"/>
    </xf>
    <xf numFmtId="0" fontId="33" fillId="5" borderId="24" xfId="0" applyNumberFormat="1" applyFont="1" applyFill="1" applyBorder="1" applyAlignment="1" applyProtection="1">
      <alignment horizontal="left" vertical="top" wrapText="1"/>
    </xf>
    <xf numFmtId="0" fontId="32" fillId="5" borderId="24" xfId="0" applyNumberFormat="1" applyFont="1" applyFill="1" applyBorder="1" applyAlignment="1" applyProtection="1">
      <alignment horizontal="left" vertical="top"/>
    </xf>
    <xf numFmtId="0" fontId="32" fillId="5" borderId="23" xfId="0" applyNumberFormat="1" applyFont="1" applyFill="1" applyBorder="1" applyAlignment="1" applyProtection="1">
      <alignment horizontal="left" vertical="top"/>
    </xf>
    <xf numFmtId="0" fontId="32" fillId="5" borderId="19" xfId="0" applyNumberFormat="1" applyFont="1" applyFill="1" applyBorder="1" applyAlignment="1" applyProtection="1">
      <alignment horizontal="left"/>
    </xf>
    <xf numFmtId="0" fontId="32" fillId="5" borderId="26" xfId="0" applyNumberFormat="1" applyFont="1" applyFill="1" applyBorder="1" applyAlignment="1" applyProtection="1">
      <alignment vertical="top"/>
    </xf>
    <xf numFmtId="0" fontId="33" fillId="5" borderId="26" xfId="0" applyNumberFormat="1" applyFont="1" applyFill="1" applyBorder="1" applyAlignment="1" applyProtection="1">
      <alignment horizontal="left" vertical="top" wrapText="1"/>
    </xf>
    <xf numFmtId="0" fontId="0" fillId="0" borderId="0" xfId="0" applyFill="1"/>
    <xf numFmtId="0" fontId="26" fillId="6" borderId="0" xfId="1" applyFont="1" applyFill="1" applyBorder="1" applyAlignment="1" applyProtection="1">
      <alignment horizontal="center" vertical="center"/>
    </xf>
    <xf numFmtId="0" fontId="17" fillId="6" borderId="0" xfId="0" applyFont="1" applyFill="1" applyBorder="1" applyAlignment="1" applyProtection="1">
      <alignment horizontal="center" vertical="center"/>
    </xf>
    <xf numFmtId="0" fontId="17" fillId="8" borderId="0" xfId="0" applyFont="1" applyFill="1" applyBorder="1" applyAlignment="1" applyProtection="1">
      <alignment vertical="center"/>
    </xf>
    <xf numFmtId="0" fontId="17" fillId="8" borderId="0" xfId="0" applyFont="1" applyFill="1" applyBorder="1" applyAlignment="1" applyProtection="1">
      <alignment horizontal="center" vertical="center"/>
    </xf>
    <xf numFmtId="0" fontId="16" fillId="8" borderId="0" xfId="0" applyFont="1" applyFill="1" applyBorder="1" applyAlignment="1" applyProtection="1">
      <alignment vertical="center"/>
    </xf>
    <xf numFmtId="0" fontId="26" fillId="8" borderId="0" xfId="1" applyFont="1" applyFill="1" applyBorder="1" applyAlignment="1" applyProtection="1">
      <alignment horizontal="center" vertical="center"/>
    </xf>
    <xf numFmtId="0" fontId="37" fillId="8" borderId="0" xfId="1" applyFont="1" applyFill="1" applyBorder="1" applyAlignment="1" applyProtection="1">
      <alignment horizontal="right" vertical="center"/>
    </xf>
    <xf numFmtId="49" fontId="0" fillId="0" borderId="0" xfId="0" applyNumberFormat="1" applyAlignment="1">
      <alignment horizontal="right"/>
    </xf>
    <xf numFmtId="0" fontId="32" fillId="5" borderId="37" xfId="0" applyNumberFormat="1" applyFont="1" applyFill="1" applyBorder="1" applyAlignment="1" applyProtection="1">
      <alignment horizontal="left" vertical="top" wrapText="1"/>
    </xf>
    <xf numFmtId="49" fontId="2" fillId="0" borderId="0" xfId="0" applyNumberFormat="1" applyFont="1" applyAlignment="1">
      <alignment horizontal="right"/>
    </xf>
    <xf numFmtId="0" fontId="41" fillId="0" borderId="0" xfId="0" applyFont="1" applyAlignment="1">
      <alignment horizontal="left" vertical="center"/>
    </xf>
    <xf numFmtId="0" fontId="2" fillId="0" borderId="0" xfId="0" applyFont="1" applyAlignment="1">
      <alignment vertical="center" wrapText="1"/>
    </xf>
    <xf numFmtId="0" fontId="42" fillId="0" borderId="0" xfId="0" applyFont="1" applyAlignment="1">
      <alignment vertical="center" wrapText="1"/>
    </xf>
    <xf numFmtId="0" fontId="2" fillId="0" borderId="0" xfId="0" applyFont="1"/>
    <xf numFmtId="0" fontId="43" fillId="0" borderId="0" xfId="0" applyFont="1" applyAlignment="1">
      <alignment vertical="center"/>
    </xf>
    <xf numFmtId="0" fontId="43" fillId="0" borderId="0" xfId="0" applyFont="1" applyAlignment="1">
      <alignment vertical="center" wrapText="1"/>
    </xf>
    <xf numFmtId="0" fontId="2" fillId="0" borderId="0" xfId="0" applyFont="1" applyAlignment="1">
      <alignment wrapText="1"/>
    </xf>
    <xf numFmtId="0" fontId="2" fillId="0" borderId="0" xfId="0" applyFont="1" applyAlignment="1">
      <alignment vertical="center"/>
    </xf>
    <xf numFmtId="49" fontId="2" fillId="0" borderId="35" xfId="0" applyNumberFormat="1" applyFont="1" applyBorder="1" applyAlignment="1">
      <alignment horizontal="right"/>
    </xf>
    <xf numFmtId="0" fontId="32" fillId="0" borderId="35" xfId="0" applyFont="1" applyBorder="1" applyAlignment="1">
      <alignment horizontal="right" vertical="center"/>
    </xf>
    <xf numFmtId="0" fontId="32" fillId="0" borderId="35" xfId="0" applyFont="1" applyBorder="1" applyAlignment="1">
      <alignment horizontal="right" vertical="center" wrapText="1"/>
    </xf>
    <xf numFmtId="49" fontId="0" fillId="0" borderId="0" xfId="0" applyNumberFormat="1" applyAlignment="1">
      <alignment horizontal="right"/>
    </xf>
    <xf numFmtId="0" fontId="19" fillId="5" borderId="34" xfId="0" applyFont="1" applyFill="1" applyBorder="1" applyAlignment="1" applyProtection="1">
      <alignment horizontal="center" vertical="center" wrapText="1"/>
    </xf>
    <xf numFmtId="0" fontId="19" fillId="10" borderId="34" xfId="0" applyFont="1" applyFill="1" applyBorder="1" applyAlignment="1" applyProtection="1">
      <alignment horizontal="center" vertical="center" wrapText="1"/>
    </xf>
    <xf numFmtId="0" fontId="19" fillId="11" borderId="34" xfId="0" applyFont="1" applyFill="1" applyBorder="1" applyAlignment="1" applyProtection="1">
      <alignment horizontal="center" vertical="center" wrapText="1"/>
    </xf>
    <xf numFmtId="0" fontId="20" fillId="9" borderId="34" xfId="0" applyFont="1" applyFill="1" applyBorder="1" applyAlignment="1" applyProtection="1">
      <alignment horizontal="center"/>
      <protection locked="0"/>
    </xf>
    <xf numFmtId="0" fontId="19" fillId="5" borderId="34" xfId="0" applyFont="1" applyFill="1" applyBorder="1" applyAlignment="1" applyProtection="1">
      <alignment horizontal="right"/>
    </xf>
    <xf numFmtId="0" fontId="19" fillId="5" borderId="34" xfId="0" applyFont="1" applyFill="1" applyBorder="1" applyAlignment="1" applyProtection="1">
      <alignment horizontal="right"/>
      <protection hidden="1"/>
    </xf>
    <xf numFmtId="0" fontId="19" fillId="5" borderId="34" xfId="0" applyFont="1" applyFill="1" applyBorder="1" applyProtection="1">
      <protection hidden="1"/>
    </xf>
    <xf numFmtId="0" fontId="28" fillId="5" borderId="34" xfId="0" applyFont="1" applyFill="1" applyBorder="1" applyAlignment="1" applyProtection="1">
      <alignment horizontal="center"/>
      <protection hidden="1"/>
    </xf>
    <xf numFmtId="0" fontId="28" fillId="5" borderId="35" xfId="0" applyFont="1" applyFill="1" applyBorder="1" applyAlignment="1" applyProtection="1">
      <alignment horizontal="center"/>
      <protection hidden="1"/>
    </xf>
    <xf numFmtId="0" fontId="14" fillId="12" borderId="36" xfId="0" applyFont="1" applyFill="1" applyBorder="1" applyAlignment="1" applyProtection="1">
      <alignment horizontal="center" vertical="center"/>
    </xf>
    <xf numFmtId="0" fontId="14" fillId="12" borderId="0" xfId="0" applyFont="1" applyFill="1" applyBorder="1" applyAlignment="1" applyProtection="1">
      <alignment horizontal="center" vertical="center"/>
    </xf>
    <xf numFmtId="0" fontId="0" fillId="12" borderId="0" xfId="0" applyFill="1" applyProtection="1"/>
    <xf numFmtId="0" fontId="0" fillId="12" borderId="0" xfId="0" applyFill="1" applyBorder="1" applyProtection="1"/>
    <xf numFmtId="0" fontId="17" fillId="12" borderId="0" xfId="0" applyFont="1" applyFill="1" applyBorder="1" applyAlignment="1" applyProtection="1">
      <alignment horizontal="center"/>
    </xf>
    <xf numFmtId="0" fontId="19" fillId="12" borderId="0" xfId="0" applyFont="1" applyFill="1" applyBorder="1" applyAlignment="1" applyProtection="1">
      <alignment horizontal="center" vertical="center" wrapText="1"/>
    </xf>
    <xf numFmtId="0" fontId="0" fillId="12" borderId="0" xfId="0" applyFill="1" applyBorder="1" applyAlignment="1" applyProtection="1">
      <alignment horizontal="left" vertical="top" wrapText="1"/>
    </xf>
    <xf numFmtId="0" fontId="27" fillId="12" borderId="0" xfId="0" applyFont="1" applyFill="1" applyBorder="1" applyAlignment="1" applyProtection="1">
      <alignment horizontal="left" vertical="center" wrapText="1"/>
    </xf>
    <xf numFmtId="0" fontId="0" fillId="12" borderId="0" xfId="0" applyFill="1" applyBorder="1" applyAlignment="1" applyProtection="1">
      <alignment vertical="top" wrapText="1"/>
    </xf>
    <xf numFmtId="0" fontId="22" fillId="12" borderId="0" xfId="0" applyFont="1" applyFill="1" applyBorder="1" applyProtection="1"/>
    <xf numFmtId="0" fontId="23" fillId="12" borderId="0" xfId="0" applyFont="1" applyFill="1" applyBorder="1" applyAlignment="1" applyProtection="1">
      <alignment horizontal="left" vertical="center" wrapText="1"/>
    </xf>
    <xf numFmtId="0" fontId="15" fillId="12" borderId="0" xfId="0" applyFont="1" applyFill="1" applyBorder="1" applyAlignment="1" applyProtection="1">
      <alignment horizontal="left" vertical="center" wrapText="1"/>
    </xf>
    <xf numFmtId="0" fontId="0" fillId="12" borderId="0" xfId="0" applyFill="1" applyBorder="1" applyAlignment="1" applyProtection="1">
      <alignment horizontal="right"/>
    </xf>
    <xf numFmtId="0" fontId="1" fillId="12" borderId="0" xfId="0" applyFont="1" applyFill="1" applyBorder="1" applyAlignment="1" applyProtection="1">
      <alignment horizontal="center"/>
    </xf>
    <xf numFmtId="0" fontId="0" fillId="12" borderId="0" xfId="0" applyFill="1" applyBorder="1" applyAlignment="1" applyProtection="1">
      <alignment horizontal="center"/>
    </xf>
    <xf numFmtId="0" fontId="19" fillId="12" borderId="34" xfId="0" applyFont="1" applyFill="1" applyBorder="1" applyProtection="1"/>
    <xf numFmtId="0" fontId="20" fillId="12" borderId="34" xfId="0" applyFont="1" applyFill="1" applyBorder="1" applyAlignment="1" applyProtection="1">
      <alignment horizontal="center"/>
    </xf>
    <xf numFmtId="0" fontId="19" fillId="12" borderId="34" xfId="0" applyFont="1" applyFill="1" applyBorder="1" applyProtection="1">
      <protection hidden="1"/>
    </xf>
    <xf numFmtId="0" fontId="21" fillId="12" borderId="34" xfId="0" applyFont="1" applyFill="1" applyBorder="1" applyProtection="1">
      <protection hidden="1"/>
    </xf>
    <xf numFmtId="0" fontId="21" fillId="12" borderId="34" xfId="0" applyFont="1" applyFill="1" applyBorder="1" applyAlignment="1" applyProtection="1">
      <alignment horizontal="center"/>
      <protection hidden="1"/>
    </xf>
    <xf numFmtId="0" fontId="1" fillId="12" borderId="0" xfId="0" applyFont="1" applyFill="1" applyBorder="1" applyAlignment="1" applyProtection="1">
      <alignment horizontal="center" vertical="center"/>
    </xf>
    <xf numFmtId="0" fontId="22" fillId="12" borderId="0" xfId="0" applyFont="1" applyFill="1" applyBorder="1" applyAlignment="1" applyProtection="1">
      <alignment horizontal="left"/>
    </xf>
    <xf numFmtId="0" fontId="20" fillId="9" borderId="34" xfId="0" applyFont="1" applyFill="1" applyBorder="1" applyAlignment="1" applyProtection="1">
      <alignment horizontal="center" vertical="center"/>
      <protection locked="0"/>
    </xf>
    <xf numFmtId="0" fontId="28" fillId="5" borderId="34" xfId="0" applyFont="1" applyFill="1" applyBorder="1" applyAlignment="1" applyProtection="1">
      <alignment horizontal="center" vertical="center"/>
      <protection hidden="1"/>
    </xf>
    <xf numFmtId="0" fontId="32" fillId="0" borderId="0" xfId="0" applyFont="1" applyAlignment="1">
      <alignment vertical="center" wrapText="1"/>
    </xf>
    <xf numFmtId="0" fontId="32" fillId="0" borderId="0" xfId="0" applyFont="1" applyAlignment="1">
      <alignment horizontal="left" wrapText="1"/>
    </xf>
    <xf numFmtId="49" fontId="32" fillId="0" borderId="35" xfId="0" applyNumberFormat="1" applyFont="1" applyBorder="1" applyAlignment="1">
      <alignment horizontal="right"/>
    </xf>
    <xf numFmtId="0" fontId="28" fillId="13" borderId="35" xfId="0" applyFont="1" applyFill="1" applyBorder="1" applyAlignment="1" applyProtection="1">
      <alignment horizontal="center" vertical="center"/>
    </xf>
    <xf numFmtId="0" fontId="28" fillId="13" borderId="34" xfId="0" applyFont="1" applyFill="1" applyBorder="1" applyAlignment="1" applyProtection="1">
      <alignment horizontal="center" vertical="center"/>
    </xf>
    <xf numFmtId="0" fontId="20" fillId="13" borderId="34" xfId="0" applyFont="1" applyFill="1" applyBorder="1" applyAlignment="1" applyProtection="1">
      <alignment horizontal="right"/>
    </xf>
    <xf numFmtId="0" fontId="20" fillId="13" borderId="34" xfId="0" applyFont="1" applyFill="1" applyBorder="1" applyAlignment="1" applyProtection="1">
      <alignment horizontal="center"/>
    </xf>
    <xf numFmtId="0" fontId="20" fillId="13" borderId="34" xfId="0" applyFont="1" applyFill="1" applyBorder="1" applyProtection="1"/>
    <xf numFmtId="49" fontId="32" fillId="0" borderId="0" xfId="0" applyNumberFormat="1" applyFont="1" applyAlignment="1">
      <alignment horizontal="right"/>
    </xf>
    <xf numFmtId="0" fontId="32" fillId="0" borderId="0" xfId="0" applyFont="1" applyAlignment="1">
      <alignment horizontal="left" vertical="center" wrapText="1"/>
    </xf>
    <xf numFmtId="0" fontId="32" fillId="0" borderId="0" xfId="0" applyFont="1"/>
    <xf numFmtId="0" fontId="48" fillId="0" borderId="0" xfId="0" applyFont="1" applyAlignment="1">
      <alignment vertical="center"/>
    </xf>
    <xf numFmtId="0" fontId="32" fillId="0" borderId="0" xfId="0" applyFont="1" applyAlignment="1">
      <alignment wrapText="1"/>
    </xf>
    <xf numFmtId="0" fontId="1" fillId="12" borderId="0" xfId="0" applyFont="1" applyFill="1" applyBorder="1" applyProtection="1"/>
    <xf numFmtId="0" fontId="48" fillId="0" borderId="0" xfId="0" applyFont="1" applyAlignment="1">
      <alignment vertical="center" wrapText="1"/>
    </xf>
    <xf numFmtId="0" fontId="31" fillId="0" borderId="0" xfId="0" applyFont="1" applyAlignment="1">
      <alignment vertical="center" wrapText="1"/>
    </xf>
    <xf numFmtId="0" fontId="19" fillId="14" borderId="0" xfId="0" applyFont="1" applyFill="1" applyBorder="1" applyAlignment="1" applyProtection="1">
      <alignment horizontal="center" vertical="center" wrapText="1"/>
    </xf>
    <xf numFmtId="0" fontId="33" fillId="5" borderId="28" xfId="0" applyNumberFormat="1" applyFont="1" applyFill="1" applyBorder="1" applyAlignment="1" applyProtection="1">
      <alignment horizontal="left" vertical="top" wrapText="1"/>
    </xf>
    <xf numFmtId="49" fontId="0" fillId="0" borderId="0" xfId="0" applyNumberFormat="1" applyAlignment="1">
      <alignment horizontal="right"/>
    </xf>
    <xf numFmtId="49" fontId="39" fillId="0" borderId="0" xfId="0" applyNumberFormat="1" applyFont="1" applyAlignment="1">
      <alignment horizontal="right"/>
    </xf>
    <xf numFmtId="0" fontId="39" fillId="0" borderId="0" xfId="0" applyFont="1"/>
    <xf numFmtId="0" fontId="39" fillId="0" borderId="0" xfId="0" applyFont="1" applyAlignment="1">
      <alignment wrapText="1"/>
    </xf>
    <xf numFmtId="49" fontId="31" fillId="0" borderId="0" xfId="0" applyNumberFormat="1" applyFont="1" applyBorder="1" applyAlignment="1">
      <alignment horizontal="left"/>
    </xf>
    <xf numFmtId="49" fontId="0" fillId="0" borderId="0" xfId="0" applyNumberFormat="1" applyBorder="1" applyAlignment="1">
      <alignment horizontal="right"/>
    </xf>
    <xf numFmtId="0" fontId="39" fillId="0" borderId="0" xfId="0" applyFont="1" applyBorder="1" applyAlignment="1">
      <alignment horizontal="right"/>
    </xf>
    <xf numFmtId="0" fontId="53" fillId="0" borderId="0" xfId="0" applyFont="1"/>
    <xf numFmtId="0" fontId="17" fillId="6" borderId="0" xfId="0" applyFont="1" applyFill="1" applyBorder="1" applyAlignment="1" applyProtection="1">
      <alignment horizontal="center"/>
    </xf>
    <xf numFmtId="0" fontId="17" fillId="6" borderId="0" xfId="0" applyFont="1" applyFill="1" applyBorder="1" applyAlignment="1" applyProtection="1">
      <alignment horizontal="center" vertical="center"/>
    </xf>
    <xf numFmtId="0" fontId="20" fillId="5" borderId="34" xfId="0" applyFont="1" applyFill="1" applyBorder="1" applyAlignment="1" applyProtection="1">
      <alignment horizontal="right" vertical="center"/>
    </xf>
    <xf numFmtId="0" fontId="15" fillId="12" borderId="0" xfId="0" applyFont="1" applyFill="1" applyBorder="1" applyAlignment="1" applyProtection="1">
      <alignment horizontal="left" vertical="center" wrapText="1"/>
    </xf>
    <xf numFmtId="0" fontId="0" fillId="12" borderId="0" xfId="0" applyFill="1" applyBorder="1" applyAlignment="1" applyProtection="1">
      <alignment horizontal="left" vertical="top" wrapText="1"/>
    </xf>
    <xf numFmtId="0" fontId="19" fillId="13" borderId="35" xfId="0" applyFont="1" applyFill="1" applyBorder="1" applyAlignment="1" applyProtection="1">
      <alignment horizontal="left" vertical="center" wrapText="1"/>
    </xf>
    <xf numFmtId="0" fontId="19" fillId="13" borderId="0" xfId="0" applyFont="1" applyFill="1" applyBorder="1" applyAlignment="1" applyProtection="1">
      <alignment horizontal="left" vertical="center" wrapText="1"/>
    </xf>
    <xf numFmtId="0" fontId="19" fillId="13" borderId="36" xfId="0" applyFont="1" applyFill="1" applyBorder="1" applyAlignment="1" applyProtection="1">
      <alignment horizontal="left" vertical="center" wrapText="1"/>
    </xf>
    <xf numFmtId="0" fontId="19" fillId="13" borderId="34" xfId="0" applyFont="1" applyFill="1" applyBorder="1" applyAlignment="1" applyProtection="1">
      <alignment horizontal="left" vertical="center" wrapText="1"/>
    </xf>
    <xf numFmtId="0" fontId="17" fillId="6" borderId="34" xfId="0" applyFont="1" applyFill="1" applyBorder="1" applyAlignment="1" applyProtection="1">
      <alignment horizontal="center"/>
    </xf>
    <xf numFmtId="0" fontId="36" fillId="6" borderId="35" xfId="0" applyFont="1" applyFill="1" applyBorder="1" applyAlignment="1" applyProtection="1">
      <alignment horizontal="center" vertical="center"/>
    </xf>
    <xf numFmtId="0" fontId="18" fillId="6" borderId="36" xfId="0" applyFont="1" applyFill="1" applyBorder="1" applyAlignment="1" applyProtection="1">
      <alignment horizontal="center" vertical="center"/>
    </xf>
    <xf numFmtId="0" fontId="50" fillId="9" borderId="35" xfId="0" applyFont="1" applyFill="1" applyBorder="1" applyAlignment="1" applyProtection="1">
      <alignment horizontal="center" vertical="center"/>
      <protection locked="0"/>
    </xf>
    <xf numFmtId="0" fontId="40" fillId="9" borderId="35" xfId="0" applyFont="1" applyFill="1" applyBorder="1" applyAlignment="1" applyProtection="1">
      <alignment horizontal="center" vertical="center"/>
      <protection locked="0"/>
    </xf>
    <xf numFmtId="0" fontId="40" fillId="9" borderId="36" xfId="0" applyFont="1" applyFill="1" applyBorder="1" applyAlignment="1" applyProtection="1">
      <alignment horizontal="center" vertical="center"/>
      <protection locked="0"/>
    </xf>
    <xf numFmtId="0" fontId="19" fillId="9" borderId="34" xfId="0" applyFont="1" applyFill="1" applyBorder="1" applyAlignment="1" applyProtection="1">
      <alignment horizontal="left" vertical="center"/>
      <protection locked="0"/>
    </xf>
    <xf numFmtId="0" fontId="18" fillId="6" borderId="35" xfId="0" applyFont="1" applyFill="1" applyBorder="1" applyAlignment="1" applyProtection="1">
      <alignment horizontal="center" vertical="center" wrapText="1"/>
    </xf>
    <xf numFmtId="0" fontId="18" fillId="6" borderId="36" xfId="0" applyFont="1" applyFill="1" applyBorder="1" applyAlignment="1" applyProtection="1">
      <alignment horizontal="center" vertical="center" wrapText="1"/>
    </xf>
    <xf numFmtId="0" fontId="19" fillId="5" borderId="0" xfId="0" applyFont="1" applyFill="1" applyBorder="1" applyAlignment="1" applyProtection="1">
      <alignment horizontal="left" vertical="top" wrapText="1"/>
      <protection hidden="1"/>
    </xf>
    <xf numFmtId="0" fontId="19" fillId="5" borderId="36" xfId="0" applyFont="1" applyFill="1" applyBorder="1" applyAlignment="1" applyProtection="1">
      <alignment horizontal="left" vertical="top" wrapText="1"/>
      <protection hidden="1"/>
    </xf>
    <xf numFmtId="0" fontId="27" fillId="6" borderId="34" xfId="0" applyFont="1" applyFill="1" applyBorder="1" applyAlignment="1" applyProtection="1">
      <alignment horizontal="center" vertical="center" wrapText="1"/>
    </xf>
    <xf numFmtId="0" fontId="19" fillId="13" borderId="35" xfId="0" applyFont="1" applyFill="1" applyBorder="1" applyAlignment="1" applyProtection="1">
      <alignment vertical="center" wrapText="1"/>
    </xf>
    <xf numFmtId="0" fontId="19" fillId="13" borderId="0" xfId="0" applyFont="1" applyFill="1" applyBorder="1" applyAlignment="1" applyProtection="1">
      <alignment vertical="center" wrapText="1"/>
    </xf>
    <xf numFmtId="0" fontId="19" fillId="13" borderId="36" xfId="0" applyFont="1" applyFill="1" applyBorder="1" applyAlignment="1" applyProtection="1">
      <alignment vertical="center" wrapText="1"/>
    </xf>
    <xf numFmtId="0" fontId="21" fillId="12" borderId="34" xfId="0" applyFont="1" applyFill="1" applyBorder="1" applyAlignment="1" applyProtection="1">
      <alignment horizontal="center" vertical="center"/>
      <protection hidden="1"/>
    </xf>
    <xf numFmtId="0" fontId="19" fillId="13" borderId="34" xfId="0" applyFont="1" applyFill="1" applyBorder="1" applyAlignment="1" applyProtection="1">
      <alignment horizontal="right" vertical="center"/>
    </xf>
    <xf numFmtId="0" fontId="24" fillId="13" borderId="35" xfId="0" applyFont="1" applyFill="1" applyBorder="1" applyAlignment="1" applyProtection="1">
      <alignment horizontal="left" vertical="center" wrapText="1"/>
    </xf>
    <xf numFmtId="0" fontId="24" fillId="13" borderId="36" xfId="0" applyFont="1" applyFill="1" applyBorder="1" applyAlignment="1" applyProtection="1">
      <alignment horizontal="left" vertical="center" wrapText="1"/>
    </xf>
    <xf numFmtId="0" fontId="28" fillId="5" borderId="34" xfId="0" applyFont="1" applyFill="1" applyBorder="1" applyAlignment="1" applyProtection="1">
      <alignment horizontal="right" vertical="center"/>
    </xf>
    <xf numFmtId="49" fontId="40" fillId="8" borderId="0" xfId="0" applyNumberFormat="1" applyFont="1" applyFill="1" applyAlignment="1">
      <alignment horizontal="right" vertical="center"/>
    </xf>
    <xf numFmtId="49" fontId="0" fillId="8" borderId="0" xfId="0" applyNumberFormat="1" applyFill="1" applyAlignment="1">
      <alignment horizontal="right" vertical="center"/>
    </xf>
    <xf numFmtId="49" fontId="0" fillId="0" borderId="0" xfId="0" applyNumberFormat="1" applyAlignment="1">
      <alignment horizontal="right"/>
    </xf>
    <xf numFmtId="49" fontId="32" fillId="0" borderId="35" xfId="0" applyNumberFormat="1" applyFont="1" applyBorder="1" applyAlignment="1">
      <alignment horizontal="right"/>
    </xf>
    <xf numFmtId="0" fontId="31" fillId="0" borderId="36" xfId="0" applyFont="1" applyBorder="1" applyAlignment="1">
      <alignment vertical="center" wrapText="1"/>
    </xf>
    <xf numFmtId="0" fontId="37" fillId="0" borderId="36" xfId="0" applyFont="1" applyBorder="1" applyAlignment="1">
      <alignment horizontal="left" vertical="center"/>
    </xf>
    <xf numFmtId="0" fontId="37" fillId="0" borderId="36" xfId="0" applyFont="1" applyBorder="1" applyAlignment="1">
      <alignment vertical="center" wrapText="1"/>
    </xf>
    <xf numFmtId="0" fontId="31" fillId="0" borderId="0" xfId="0" applyFont="1" applyAlignment="1">
      <alignment vertical="center"/>
    </xf>
    <xf numFmtId="0" fontId="31" fillId="0" borderId="0" xfId="0" applyFont="1" applyAlignment="1">
      <alignment vertical="center" wrapText="1"/>
    </xf>
    <xf numFmtId="0" fontId="31" fillId="0" borderId="0" xfId="0" applyFont="1" applyAlignment="1">
      <alignment vertical="top" wrapText="1"/>
    </xf>
    <xf numFmtId="49" fontId="31" fillId="0" borderId="36" xfId="0" applyNumberFormat="1" applyFont="1" applyBorder="1" applyAlignment="1">
      <alignment horizontal="left"/>
    </xf>
    <xf numFmtId="0" fontId="1" fillId="0" borderId="18"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7"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0" fillId="2" borderId="14" xfId="0" applyFill="1" applyBorder="1"/>
    <xf numFmtId="0" fontId="0" fillId="2" borderId="13" xfId="0" applyFill="1" applyBorder="1"/>
    <xf numFmtId="0" fontId="1" fillId="2" borderId="2" xfId="0" applyFont="1" applyFill="1" applyBorder="1" applyAlignment="1">
      <alignment horizontal="center" vertical="center" wrapText="1"/>
    </xf>
    <xf numFmtId="0" fontId="1" fillId="2" borderId="17" xfId="0" applyFont="1" applyFill="1" applyBorder="1" applyAlignment="1">
      <alignment horizontal="center" vertical="center" wrapText="1"/>
    </xf>
    <xf numFmtId="0" fontId="1" fillId="2" borderId="14" xfId="0" applyFont="1" applyFill="1" applyBorder="1" applyAlignment="1">
      <alignment horizontal="center" vertical="center"/>
    </xf>
    <xf numFmtId="0" fontId="1" fillId="2" borderId="13" xfId="0" applyFont="1" applyFill="1" applyBorder="1" applyAlignment="1">
      <alignment horizontal="center" vertical="center"/>
    </xf>
    <xf numFmtId="0" fontId="0" fillId="2" borderId="15" xfId="0" applyFill="1" applyBorder="1"/>
    <xf numFmtId="0" fontId="0" fillId="2" borderId="0" xfId="0" applyFill="1"/>
    <xf numFmtId="0" fontId="1" fillId="2" borderId="14" xfId="0" applyFont="1" applyFill="1" applyBorder="1" applyAlignment="1">
      <alignment horizontal="center"/>
    </xf>
    <xf numFmtId="0" fontId="1" fillId="2" borderId="15" xfId="0" applyFont="1" applyFill="1" applyBorder="1" applyAlignment="1">
      <alignment horizontal="center"/>
    </xf>
    <xf numFmtId="0" fontId="1" fillId="2" borderId="13" xfId="0" applyFont="1" applyFill="1" applyBorder="1" applyAlignment="1">
      <alignment horizontal="center"/>
    </xf>
    <xf numFmtId="0" fontId="32" fillId="5" borderId="31" xfId="0" applyNumberFormat="1" applyFont="1" applyFill="1" applyBorder="1" applyAlignment="1" applyProtection="1">
      <alignment horizontal="left" vertical="top"/>
    </xf>
    <xf numFmtId="0" fontId="32" fillId="5" borderId="32" xfId="0" applyNumberFormat="1" applyFont="1" applyFill="1" applyBorder="1" applyAlignment="1" applyProtection="1">
      <alignment horizontal="left" vertical="top"/>
    </xf>
    <xf numFmtId="0" fontId="31" fillId="5" borderId="10" xfId="0" applyNumberFormat="1" applyFont="1" applyFill="1" applyBorder="1" applyAlignment="1" applyProtection="1">
      <alignment horizontal="left"/>
    </xf>
    <xf numFmtId="0" fontId="31" fillId="5" borderId="33" xfId="0" applyNumberFormat="1" applyFont="1" applyFill="1" applyBorder="1" applyAlignment="1" applyProtection="1">
      <alignment horizontal="left"/>
    </xf>
    <xf numFmtId="0" fontId="32" fillId="5" borderId="29" xfId="0" applyNumberFormat="1" applyFont="1" applyFill="1" applyBorder="1" applyAlignment="1" applyProtection="1">
      <alignment horizontal="left" vertical="top"/>
    </xf>
    <xf numFmtId="0" fontId="32" fillId="5" borderId="30" xfId="0" applyNumberFormat="1" applyFont="1" applyFill="1" applyBorder="1" applyAlignment="1" applyProtection="1">
      <alignment horizontal="left" vertical="top"/>
    </xf>
    <xf numFmtId="0" fontId="32" fillId="5" borderId="29" xfId="0" applyNumberFormat="1" applyFont="1" applyFill="1" applyBorder="1" applyAlignment="1" applyProtection="1">
      <alignment horizontal="left" vertical="top" wrapText="1"/>
    </xf>
    <xf numFmtId="0" fontId="32" fillId="5" borderId="30" xfId="0" applyNumberFormat="1" applyFont="1" applyFill="1" applyBorder="1" applyAlignment="1" applyProtection="1">
      <alignment horizontal="left" vertical="top" wrapText="1"/>
    </xf>
  </cellXfs>
  <cellStyles count="2">
    <cellStyle name="Hyperlink" xfId="1" builtinId="8"/>
    <cellStyle name="Normal" xfId="0" builtinId="0"/>
  </cellStyles>
  <dxfs count="7">
    <dxf>
      <fill>
        <patternFill>
          <bgColor rgb="FF999FA7"/>
        </patternFill>
      </fill>
    </dxf>
    <dxf>
      <fill>
        <patternFill>
          <bgColor rgb="FF999FA7"/>
        </patternFill>
      </fill>
    </dxf>
    <dxf>
      <fill>
        <patternFill>
          <bgColor rgb="FF999FA7"/>
        </patternFill>
      </fill>
    </dxf>
    <dxf>
      <fill>
        <patternFill>
          <bgColor rgb="FF999FA7"/>
        </patternFill>
      </fill>
    </dxf>
    <dxf>
      <fill>
        <patternFill>
          <bgColor rgb="FF999FA7"/>
        </patternFill>
      </fill>
    </dxf>
    <dxf>
      <fill>
        <patternFill>
          <bgColor rgb="FF999FA7"/>
        </patternFill>
      </fill>
    </dxf>
    <dxf>
      <fill>
        <patternFill>
          <bgColor rgb="FF999FA7"/>
        </patternFill>
      </fill>
    </dxf>
  </dxfs>
  <tableStyles count="0" defaultTableStyle="TableStyleMedium2" defaultPivotStyle="PivotStyleLight16"/>
  <colors>
    <mruColors>
      <color rgb="FFC9CBCD"/>
      <color rgb="FFD7CCB7"/>
      <color rgb="FFDBD2C2"/>
      <color rgb="FFA78F64"/>
      <color rgb="FFA8B5D4"/>
      <color rgb="FF999FA7"/>
      <color rgb="FFB8C2D0"/>
      <color rgb="FFE9EAEB"/>
      <color rgb="FF234396"/>
      <color rgb="FFC7CB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30-EC42-11CE-9E0D-00AA006002F3}" ax:persistence="persistStreamInit" r:id="rId1"/>
</file>

<file path=xl/drawings/_rels/drawing1.xml.rels><?xml version="1.0" encoding="UTF-8" standalone="yes"?>
<Relationships xmlns="http://schemas.openxmlformats.org/package/2006/relationships"><Relationship Id="rId3" Type="http://schemas.openxmlformats.org/officeDocument/2006/relationships/hyperlink" Target="http://creativecommons.org/licenses/by-nc-nd/4.0/" TargetMode="External"/><Relationship Id="rId7" Type="http://schemas.openxmlformats.org/officeDocument/2006/relationships/image" Target="../media/image6.png"/><Relationship Id="rId2" Type="http://schemas.openxmlformats.org/officeDocument/2006/relationships/hyperlink" Target="#'Help Guide'!A1"/><Relationship Id="rId1" Type="http://schemas.openxmlformats.org/officeDocument/2006/relationships/image" Target="../media/image2.jpg"/><Relationship Id="rId6" Type="http://schemas.openxmlformats.org/officeDocument/2006/relationships/image" Target="../media/image5.png"/><Relationship Id="rId5" Type="http://schemas.openxmlformats.org/officeDocument/2006/relationships/image" Target="../media/image4.pn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11.png"/><Relationship Id="rId3" Type="http://schemas.openxmlformats.org/officeDocument/2006/relationships/image" Target="../media/image7.png"/><Relationship Id="rId7" Type="http://schemas.openxmlformats.org/officeDocument/2006/relationships/image" Target="../media/image10.png"/><Relationship Id="rId2" Type="http://schemas.openxmlformats.org/officeDocument/2006/relationships/image" Target="../media/image4.png"/><Relationship Id="rId1" Type="http://schemas.openxmlformats.org/officeDocument/2006/relationships/image" Target="../media/image2.jpg"/><Relationship Id="rId6" Type="http://schemas.openxmlformats.org/officeDocument/2006/relationships/image" Target="../media/image9.png"/><Relationship Id="rId11" Type="http://schemas.openxmlformats.org/officeDocument/2006/relationships/image" Target="../media/image14.png"/><Relationship Id="rId5" Type="http://schemas.openxmlformats.org/officeDocument/2006/relationships/hyperlink" Target="#'Sanitary Facilities Calculator'!A1"/><Relationship Id="rId10" Type="http://schemas.openxmlformats.org/officeDocument/2006/relationships/image" Target="../media/image13.png"/><Relationship Id="rId4" Type="http://schemas.openxmlformats.org/officeDocument/2006/relationships/image" Target="../media/image8.png"/><Relationship Id="rId9" Type="http://schemas.openxmlformats.org/officeDocument/2006/relationships/image" Target="../media/image1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5.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337454</xdr:colOff>
      <xdr:row>0</xdr:row>
      <xdr:rowOff>176893</xdr:rowOff>
    </xdr:from>
    <xdr:to>
      <xdr:col>16</xdr:col>
      <xdr:colOff>13606</xdr:colOff>
      <xdr:row>2</xdr:row>
      <xdr:rowOff>0</xdr:rowOff>
    </xdr:to>
    <xdr:pic>
      <xdr:nvPicPr>
        <xdr:cNvPr id="5" name="Picture 4"/>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37454" y="176893"/>
          <a:ext cx="20399831" cy="2122714"/>
        </a:xfrm>
        <a:prstGeom prst="rect">
          <a:avLst/>
        </a:prstGeom>
      </xdr:spPr>
    </xdr:pic>
    <xdr:clientData/>
  </xdr:twoCellAnchor>
  <xdr:twoCellAnchor>
    <xdr:from>
      <xdr:col>1</xdr:col>
      <xdr:colOff>187325</xdr:colOff>
      <xdr:row>2</xdr:row>
      <xdr:rowOff>85724</xdr:rowOff>
    </xdr:from>
    <xdr:to>
      <xdr:col>1</xdr:col>
      <xdr:colOff>2152650</xdr:colOff>
      <xdr:row>2</xdr:row>
      <xdr:rowOff>419099</xdr:rowOff>
    </xdr:to>
    <xdr:sp macro="" textlink="" fLocksText="0">
      <xdr:nvSpPr>
        <xdr:cNvPr id="2" name="Rounded Rectangle 1">
          <a:hlinkClick xmlns:r="http://schemas.openxmlformats.org/officeDocument/2006/relationships" r:id="rId2"/>
        </xdr:cNvPr>
        <xdr:cNvSpPr/>
      </xdr:nvSpPr>
      <xdr:spPr>
        <a:xfrm>
          <a:off x="527504" y="2385331"/>
          <a:ext cx="1965325" cy="333375"/>
        </a:xfrm>
        <a:prstGeom prst="roundRect">
          <a:avLst/>
        </a:prstGeom>
        <a:solidFill>
          <a:srgbClr val="E9EAEB"/>
        </a:solidFill>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lang="en-AU" sz="1400" b="1" spc="0" baseline="0">
              <a:solidFill>
                <a:sysClr val="windowText" lastClr="000000"/>
              </a:solidFill>
              <a:latin typeface="Arial" panose="020B0604020202020204" pitchFamily="34" charset="0"/>
              <a:cs typeface="Arial" panose="020B0604020202020204" pitchFamily="34" charset="0"/>
            </a:rPr>
            <a:t>Help Guide</a:t>
          </a:r>
        </a:p>
      </xdr:txBody>
    </xdr:sp>
    <xdr:clientData fLocksWithSheet="0"/>
  </xdr:twoCellAnchor>
  <xdr:twoCellAnchor>
    <xdr:from>
      <xdr:col>0</xdr:col>
      <xdr:colOff>299809</xdr:colOff>
      <xdr:row>39</xdr:row>
      <xdr:rowOff>16180</xdr:rowOff>
    </xdr:from>
    <xdr:to>
      <xdr:col>13</xdr:col>
      <xdr:colOff>571951</xdr:colOff>
      <xdr:row>44</xdr:row>
      <xdr:rowOff>35718</xdr:rowOff>
    </xdr:to>
    <xdr:sp macro="" textlink="">
      <xdr:nvSpPr>
        <xdr:cNvPr id="8" name="TextBox 7"/>
        <xdr:cNvSpPr txBox="1"/>
      </xdr:nvSpPr>
      <xdr:spPr>
        <a:xfrm>
          <a:off x="299809" y="13910774"/>
          <a:ext cx="17821955" cy="97203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000" b="1">
              <a:latin typeface="Arial" panose="020B0604020202020204" pitchFamily="34" charset="0"/>
              <a:cs typeface="Arial" panose="020B0604020202020204" pitchFamily="34" charset="0"/>
            </a:rPr>
            <a:t>IMPORTANT</a:t>
          </a:r>
          <a:r>
            <a:rPr lang="en-AU" sz="1000" b="1" baseline="0">
              <a:latin typeface="Arial" panose="020B0604020202020204" pitchFamily="34" charset="0"/>
              <a:cs typeface="Arial" panose="020B0604020202020204" pitchFamily="34" charset="0"/>
            </a:rPr>
            <a:t> NOTICE AND DISCLAIMER IN RESPECT OF THIS SANITARY FACILITIES CALCULATOR:</a:t>
          </a:r>
        </a:p>
        <a:p>
          <a:r>
            <a:rPr lang="en-AU" sz="1000">
              <a:latin typeface="Arial" panose="020B0604020202020204" pitchFamily="34" charset="0"/>
              <a:cs typeface="Arial" panose="020B0604020202020204" pitchFamily="34" charset="0"/>
            </a:rPr>
            <a:t>By accessing or using this calculator, you agree to the following: While care has been taken in the preparation of this calculator, it may not be complete or up-to-date. You can ensure that you are using a complete and up-to-date version by checking the Australian Building Codes Board website (www.abcb.gov.au). The Australian Building Codes Board, the Commonwealth of Australia and States and Territories of Australia do not accept any liability, including liability for negligence, for any loss (howsoever caused), damage, injury, expense or cost incurred by any person as a result of accessing, using or relying upon this publication, to the maximum extent permitted by law. No representation or warranty is made or given as to the currency, accuracy, reliability, merchantability, fitness for any purpose or completeness of this publication or any information which may appear on any linked websites, or in other linked information sources, and all such representations and warranties are excluded to the extent permitted by law. This calculator is not legal or professional advice. Persons rely upon this calculator entirely at their own risk and must take responsibility for assessing the relevance and accuracy of the information in relation to their particular circumstances. </a:t>
          </a:r>
        </a:p>
      </xdr:txBody>
    </xdr:sp>
    <xdr:clientData/>
  </xdr:twoCellAnchor>
  <xdr:twoCellAnchor editAs="oneCell">
    <xdr:from>
      <xdr:col>1</xdr:col>
      <xdr:colOff>67126</xdr:colOff>
      <xdr:row>44</xdr:row>
      <xdr:rowOff>59044</xdr:rowOff>
    </xdr:from>
    <xdr:to>
      <xdr:col>1</xdr:col>
      <xdr:colOff>1500187</xdr:colOff>
      <xdr:row>46</xdr:row>
      <xdr:rowOff>178594</xdr:rowOff>
    </xdr:to>
    <xdr:pic>
      <xdr:nvPicPr>
        <xdr:cNvPr id="9" name="Picture 8" descr="Creative Commons License">
          <a:hlinkClick xmlns:r="http://schemas.openxmlformats.org/officeDocument/2006/relationships" r:id="rId3"/>
        </xdr:cNvPr>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00501" y="14906138"/>
          <a:ext cx="1433061" cy="5005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602753</xdr:colOff>
      <xdr:row>1</xdr:row>
      <xdr:rowOff>679903</xdr:rowOff>
    </xdr:from>
    <xdr:to>
      <xdr:col>14</xdr:col>
      <xdr:colOff>1129393</xdr:colOff>
      <xdr:row>1</xdr:row>
      <xdr:rowOff>1924503</xdr:rowOff>
    </xdr:to>
    <xdr:sp macro="" textlink="">
      <xdr:nvSpPr>
        <xdr:cNvPr id="12" name="TextBox 11">
          <a:extLst>
            <a:ext uri="{FF2B5EF4-FFF2-40B4-BE49-F238E27FC236}">
              <a16:creationId xmlns="" xmlns:a16="http://schemas.microsoft.com/office/drawing/2014/main" id="{00000000-0008-0000-0100-000002000000}"/>
            </a:ext>
          </a:extLst>
        </xdr:cNvPr>
        <xdr:cNvSpPr txBox="1"/>
      </xdr:nvSpPr>
      <xdr:spPr>
        <a:xfrm>
          <a:off x="942932" y="870403"/>
          <a:ext cx="19113997" cy="1244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ct val="75000"/>
            </a:lnSpc>
          </a:pPr>
          <a:r>
            <a:rPr lang="en-US" sz="3600">
              <a:solidFill>
                <a:schemeClr val="bg1"/>
              </a:solidFill>
              <a:latin typeface="Arial" panose="020B0604020202020204" pitchFamily="34" charset="0"/>
              <a:cs typeface="Arial" panose="020B0604020202020204" pitchFamily="34" charset="0"/>
            </a:rPr>
            <a:t>Sanitary Facilities</a:t>
          </a:r>
          <a:br>
            <a:rPr lang="en-US" sz="3600">
              <a:solidFill>
                <a:schemeClr val="bg1"/>
              </a:solidFill>
              <a:latin typeface="Arial" panose="020B0604020202020204" pitchFamily="34" charset="0"/>
              <a:cs typeface="Arial" panose="020B0604020202020204" pitchFamily="34" charset="0"/>
            </a:rPr>
          </a:br>
          <a:endParaRPr lang="en-US" sz="3600">
            <a:solidFill>
              <a:schemeClr val="bg1"/>
            </a:solidFill>
            <a:latin typeface="Arial" panose="020B0604020202020204" pitchFamily="34" charset="0"/>
            <a:cs typeface="Arial" panose="020B0604020202020204" pitchFamily="34" charset="0"/>
          </a:endParaRPr>
        </a:p>
      </xdr:txBody>
    </xdr:sp>
    <xdr:clientData/>
  </xdr:twoCellAnchor>
  <xdr:twoCellAnchor editAs="oneCell">
    <xdr:from>
      <xdr:col>1</xdr:col>
      <xdr:colOff>406399</xdr:colOff>
      <xdr:row>1</xdr:row>
      <xdr:rowOff>194806</xdr:rowOff>
    </xdr:from>
    <xdr:to>
      <xdr:col>1</xdr:col>
      <xdr:colOff>1293040</xdr:colOff>
      <xdr:row>1</xdr:row>
      <xdr:rowOff>1430794</xdr:rowOff>
    </xdr:to>
    <xdr:pic>
      <xdr:nvPicPr>
        <xdr:cNvPr id="13" name="Picture 12"/>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1015999" y="385306"/>
          <a:ext cx="886641" cy="1235988"/>
        </a:xfrm>
        <a:prstGeom prst="rect">
          <a:avLst/>
        </a:prstGeom>
      </xdr:spPr>
    </xdr:pic>
    <xdr:clientData/>
  </xdr:twoCellAnchor>
  <xdr:twoCellAnchor editAs="oneCell">
    <xdr:from>
      <xdr:col>14</xdr:col>
      <xdr:colOff>619083</xdr:colOff>
      <xdr:row>1</xdr:row>
      <xdr:rowOff>1173311</xdr:rowOff>
    </xdr:from>
    <xdr:to>
      <xdr:col>14</xdr:col>
      <xdr:colOff>1359370</xdr:colOff>
      <xdr:row>1</xdr:row>
      <xdr:rowOff>1907509</xdr:rowOff>
    </xdr:to>
    <xdr:pic>
      <xdr:nvPicPr>
        <xdr:cNvPr id="14" name="Picture 13"/>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0659683" y="1363811"/>
          <a:ext cx="740287" cy="734198"/>
        </a:xfrm>
        <a:prstGeom prst="rect">
          <a:avLst/>
        </a:prstGeom>
      </xdr:spPr>
    </xdr:pic>
    <xdr:clientData/>
  </xdr:twoCellAnchor>
  <xdr:twoCellAnchor editAs="oneCell">
    <xdr:from>
      <xdr:col>13</xdr:col>
      <xdr:colOff>268571</xdr:colOff>
      <xdr:row>1</xdr:row>
      <xdr:rowOff>238863</xdr:rowOff>
    </xdr:from>
    <xdr:to>
      <xdr:col>15</xdr:col>
      <xdr:colOff>1673</xdr:colOff>
      <xdr:row>1</xdr:row>
      <xdr:rowOff>1155335</xdr:rowOff>
    </xdr:to>
    <xdr:pic>
      <xdr:nvPicPr>
        <xdr:cNvPr id="15" name="Picture 14"/>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8923964" y="429363"/>
          <a:ext cx="2498493" cy="916472"/>
        </a:xfrm>
        <a:prstGeom prst="rect">
          <a:avLst/>
        </a:prstGeom>
      </xdr:spPr>
    </xdr:pic>
    <xdr:clientData/>
  </xdr:twoCellAnchor>
  <xdr:twoCellAnchor>
    <xdr:from>
      <xdr:col>0</xdr:col>
      <xdr:colOff>312965</xdr:colOff>
      <xdr:row>37</xdr:row>
      <xdr:rowOff>20411</xdr:rowOff>
    </xdr:from>
    <xdr:to>
      <xdr:col>8</xdr:col>
      <xdr:colOff>585108</xdr:colOff>
      <xdr:row>39</xdr:row>
      <xdr:rowOff>34018</xdr:rowOff>
    </xdr:to>
    <xdr:sp macro="" textlink="">
      <xdr:nvSpPr>
        <xdr:cNvPr id="19" name="TextBox 18"/>
        <xdr:cNvSpPr txBox="1"/>
      </xdr:nvSpPr>
      <xdr:spPr>
        <a:xfrm>
          <a:off x="312965" y="13534005"/>
          <a:ext cx="12178393" cy="39460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AU" sz="1000" b="1">
              <a:latin typeface="Arial" panose="020B0604020202020204" pitchFamily="34" charset="0"/>
              <a:cs typeface="Arial" panose="020B0604020202020204" pitchFamily="34" charset="0"/>
            </a:rPr>
            <a:t>NOTICE FOR ALL USERS:</a:t>
          </a:r>
        </a:p>
        <a:p>
          <a:r>
            <a:rPr lang="en-AU" sz="1000">
              <a:latin typeface="Arial" panose="020B0604020202020204" pitchFamily="34" charset="0"/>
              <a:cs typeface="Arial" panose="020B0604020202020204" pitchFamily="34" charset="0"/>
            </a:rPr>
            <a:t>The Sanitary Facilities Calculator is not a compliance</a:t>
          </a:r>
          <a:r>
            <a:rPr lang="en-AU" sz="1000" baseline="0">
              <a:latin typeface="Arial" panose="020B0604020202020204" pitchFamily="34" charset="0"/>
              <a:cs typeface="Arial" panose="020B0604020202020204" pitchFamily="34" charset="0"/>
            </a:rPr>
            <a:t> tool, nor a Verification Method. It is provided solely to aid practitioners in developing their understanding of the NCC.</a:t>
          </a:r>
          <a:endParaRPr lang="en-AU" sz="1000">
            <a:latin typeface="Arial" panose="020B0604020202020204" pitchFamily="34" charset="0"/>
            <a:cs typeface="Arial" panose="020B0604020202020204" pitchFamily="34" charset="0"/>
          </a:endParaRPr>
        </a:p>
      </xdr:txBody>
    </xdr:sp>
    <xdr:clientData/>
  </xdr:twoCellAnchor>
  <xdr:twoCellAnchor>
    <xdr:from>
      <xdr:col>1</xdr:col>
      <xdr:colOff>1535529</xdr:colOff>
      <xdr:row>44</xdr:row>
      <xdr:rowOff>18602</xdr:rowOff>
    </xdr:from>
    <xdr:to>
      <xdr:col>13</xdr:col>
      <xdr:colOff>416721</xdr:colOff>
      <xdr:row>47</xdr:row>
      <xdr:rowOff>95251</xdr:rowOff>
    </xdr:to>
    <xdr:sp macro="" textlink="">
      <xdr:nvSpPr>
        <xdr:cNvPr id="7" name="TextBox 6"/>
        <xdr:cNvSpPr txBox="1"/>
      </xdr:nvSpPr>
      <xdr:spPr>
        <a:xfrm>
          <a:off x="1868904" y="14865696"/>
          <a:ext cx="16097630" cy="64814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000">
              <a:solidFill>
                <a:schemeClr val="dk1"/>
              </a:solidFill>
              <a:effectLst/>
              <a:latin typeface="Arial" panose="020B0604020202020204" pitchFamily="34" charset="0"/>
              <a:ea typeface="+mn-ea"/>
              <a:cs typeface="Arial" panose="020B0604020202020204" pitchFamily="34" charset="0"/>
            </a:rPr>
            <a:t>© Commonwealth of Australia and the States and Territories of Australia 2019, published by the Australian Building Codes Board.</a:t>
          </a:r>
          <a:endParaRPr lang="en-AU" sz="100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000">
              <a:solidFill>
                <a:schemeClr val="dk1"/>
              </a:solidFill>
              <a:effectLst/>
              <a:latin typeface="Arial" panose="020B0604020202020204" pitchFamily="34" charset="0"/>
              <a:ea typeface="+mn-ea"/>
              <a:cs typeface="Arial" panose="020B0604020202020204" pitchFamily="34" charset="0"/>
            </a:rPr>
            <a:t>The material in this publication is licensed under a Creative Commons Attribution-No Derivatives—4.0 International licence, with the exception of third party materials and any trade marks.  It is provided for general information only and without warranties of any kind.  You may not make derivatives of this publication, but may only use a verbatim copy.  More information on this CC BY ND licence is set out at the </a:t>
          </a:r>
          <a:r>
            <a:rPr lang="en-US" sz="10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Creative Commons Website</a:t>
          </a:r>
          <a:r>
            <a:rPr lang="en-US" sz="1000">
              <a:solidFill>
                <a:schemeClr val="dk1"/>
              </a:solidFill>
              <a:effectLst/>
              <a:latin typeface="Arial" panose="020B0604020202020204" pitchFamily="34" charset="0"/>
              <a:ea typeface="+mn-ea"/>
              <a:cs typeface="Arial" panose="020B0604020202020204" pitchFamily="34" charset="0"/>
            </a:rPr>
            <a:t>.  For information regarding this publication, see </a:t>
          </a:r>
          <a:r>
            <a:rPr lang="en-US" sz="1000" u="sng">
              <a:solidFill>
                <a:schemeClr val="dk1"/>
              </a:solidFill>
              <a:effectLst/>
              <a:latin typeface="Arial" panose="020B0604020202020204" pitchFamily="34" charset="0"/>
              <a:ea typeface="+mn-ea"/>
              <a:cs typeface="Arial" panose="020B0604020202020204" pitchFamily="34" charset="0"/>
              <a:hlinkClick xmlns:r="http://schemas.openxmlformats.org/officeDocument/2006/relationships" r:id=""/>
            </a:rPr>
            <a:t>www.abcb.gov.au</a:t>
          </a:r>
          <a:r>
            <a:rPr lang="en-US" sz="1000">
              <a:solidFill>
                <a:schemeClr val="dk1"/>
              </a:solidFill>
              <a:effectLst/>
              <a:latin typeface="Arial" panose="020B0604020202020204" pitchFamily="34" charset="0"/>
              <a:ea typeface="+mn-ea"/>
              <a:cs typeface="Arial" panose="020B0604020202020204" pitchFamily="34" charset="0"/>
            </a:rPr>
            <a:t>.</a:t>
          </a:r>
          <a:endParaRPr lang="en-AU" sz="1000">
            <a:solidFill>
              <a:schemeClr val="dk1"/>
            </a:solidFill>
            <a:effectLst/>
            <a:latin typeface="Arial" panose="020B0604020202020204" pitchFamily="34" charset="0"/>
            <a:ea typeface="+mn-ea"/>
            <a:cs typeface="Arial" panose="020B0604020202020204" pitchFamily="34" charset="0"/>
          </a:endParaRPr>
        </a:p>
        <a:p>
          <a:endParaRPr lang="en-AU" sz="1100"/>
        </a:p>
      </xdr:txBody>
    </xdr:sp>
    <xdr:clientData/>
  </xdr:twoCellAnchor>
  <xdr:oneCellAnchor>
    <xdr:from>
      <xdr:col>5</xdr:col>
      <xdr:colOff>590550</xdr:colOff>
      <xdr:row>1</xdr:row>
      <xdr:rowOff>647700</xdr:rowOff>
    </xdr:from>
    <xdr:ext cx="184731" cy="264560"/>
    <xdr:sp macro="" textlink="">
      <xdr:nvSpPr>
        <xdr:cNvPr id="3" name="TextBox 2"/>
        <xdr:cNvSpPr txBox="1"/>
      </xdr:nvSpPr>
      <xdr:spPr>
        <a:xfrm>
          <a:off x="9588500" y="8318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AU" sz="1100"/>
        </a:p>
      </xdr:txBody>
    </xdr:sp>
    <xdr:clientData/>
  </xdr:oneCellAnchor>
  <mc:AlternateContent xmlns:mc="http://schemas.openxmlformats.org/markup-compatibility/2006">
    <mc:Choice xmlns:a14="http://schemas.microsoft.com/office/drawing/2010/main" Requires="a14">
      <xdr:twoCellAnchor editAs="oneCell">
        <xdr:from>
          <xdr:col>2</xdr:col>
          <xdr:colOff>76200</xdr:colOff>
          <xdr:row>7</xdr:row>
          <xdr:rowOff>28575</xdr:rowOff>
        </xdr:from>
        <xdr:to>
          <xdr:col>8</xdr:col>
          <xdr:colOff>1171575</xdr:colOff>
          <xdr:row>8</xdr:row>
          <xdr:rowOff>238125</xdr:rowOff>
        </xdr:to>
        <xdr:sp macro="" textlink="">
          <xdr:nvSpPr>
            <xdr:cNvPr id="1060" name="ComboBox1" hidden="1">
              <a:extLst>
                <a:ext uri="{63B3BB69-23CF-44E3-9099-C40C66FF867C}">
                  <a14:compatExt spid="_x0000_s106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9524</xdr:colOff>
      <xdr:row>1</xdr:row>
      <xdr:rowOff>0</xdr:rowOff>
    </xdr:to>
    <xdr:pic>
      <xdr:nvPicPr>
        <xdr:cNvPr id="19" name="Picture 18"/>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40352" r="-1"/>
        <a:stretch/>
      </xdr:blipFill>
      <xdr:spPr>
        <a:xfrm>
          <a:off x="0" y="0"/>
          <a:ext cx="6581774" cy="1238250"/>
        </a:xfrm>
        <a:prstGeom prst="rect">
          <a:avLst/>
        </a:prstGeom>
      </xdr:spPr>
    </xdr:pic>
    <xdr:clientData/>
  </xdr:twoCellAnchor>
  <xdr:twoCellAnchor editAs="oneCell">
    <xdr:from>
      <xdr:col>0</xdr:col>
      <xdr:colOff>177006</xdr:colOff>
      <xdr:row>0</xdr:row>
      <xdr:rowOff>166688</xdr:rowOff>
    </xdr:from>
    <xdr:to>
      <xdr:col>1</xdr:col>
      <xdr:colOff>316981</xdr:colOff>
      <xdr:row>0</xdr:row>
      <xdr:rowOff>667208</xdr:rowOff>
    </xdr:to>
    <xdr:pic>
      <xdr:nvPicPr>
        <xdr:cNvPr id="9" name="Picture 8"/>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7006" y="166688"/>
          <a:ext cx="354288" cy="500520"/>
        </a:xfrm>
        <a:prstGeom prst="rect">
          <a:avLst/>
        </a:prstGeom>
      </xdr:spPr>
    </xdr:pic>
    <xdr:clientData/>
  </xdr:twoCellAnchor>
  <xdr:twoCellAnchor editAs="oneCell">
    <xdr:from>
      <xdr:col>1</xdr:col>
      <xdr:colOff>5840371</xdr:colOff>
      <xdr:row>0</xdr:row>
      <xdr:rowOff>726282</xdr:rowOff>
    </xdr:from>
    <xdr:to>
      <xdr:col>1</xdr:col>
      <xdr:colOff>6234113</xdr:colOff>
      <xdr:row>0</xdr:row>
      <xdr:rowOff>1116785</xdr:rowOff>
    </xdr:to>
    <xdr:pic>
      <xdr:nvPicPr>
        <xdr:cNvPr id="10" name="Picture 9"/>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054684" y="726282"/>
          <a:ext cx="393742" cy="390503"/>
        </a:xfrm>
        <a:prstGeom prst="rect">
          <a:avLst/>
        </a:prstGeom>
      </xdr:spPr>
    </xdr:pic>
    <xdr:clientData/>
  </xdr:twoCellAnchor>
  <xdr:twoCellAnchor editAs="oneCell">
    <xdr:from>
      <xdr:col>1</xdr:col>
      <xdr:colOff>4944606</xdr:colOff>
      <xdr:row>0</xdr:row>
      <xdr:rowOff>181223</xdr:rowOff>
    </xdr:from>
    <xdr:to>
      <xdr:col>1</xdr:col>
      <xdr:colOff>6190349</xdr:colOff>
      <xdr:row>0</xdr:row>
      <xdr:rowOff>638174</xdr:rowOff>
    </xdr:to>
    <xdr:pic>
      <xdr:nvPicPr>
        <xdr:cNvPr id="11" name="Picture 10"/>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5163681" y="181223"/>
          <a:ext cx="1245743" cy="456951"/>
        </a:xfrm>
        <a:prstGeom prst="rect">
          <a:avLst/>
        </a:prstGeom>
      </xdr:spPr>
    </xdr:pic>
    <xdr:clientData/>
  </xdr:twoCellAnchor>
  <xdr:twoCellAnchor>
    <xdr:from>
      <xdr:col>1</xdr:col>
      <xdr:colOff>964406</xdr:colOff>
      <xdr:row>0</xdr:row>
      <xdr:rowOff>238125</xdr:rowOff>
    </xdr:from>
    <xdr:to>
      <xdr:col>1</xdr:col>
      <xdr:colOff>4833936</xdr:colOff>
      <xdr:row>0</xdr:row>
      <xdr:rowOff>1119188</xdr:rowOff>
    </xdr:to>
    <xdr:sp macro="" textlink="">
      <xdr:nvSpPr>
        <xdr:cNvPr id="13" name="TextBox 12"/>
        <xdr:cNvSpPr txBox="1"/>
      </xdr:nvSpPr>
      <xdr:spPr>
        <a:xfrm>
          <a:off x="1178719" y="238125"/>
          <a:ext cx="3869530" cy="8810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AU" sz="2400">
              <a:solidFill>
                <a:schemeClr val="bg1"/>
              </a:solidFill>
              <a:latin typeface="Arial" panose="020B0604020202020204" pitchFamily="34" charset="0"/>
              <a:cs typeface="Arial" panose="020B0604020202020204" pitchFamily="34" charset="0"/>
            </a:rPr>
            <a:t>Sanitary Facilities</a:t>
          </a:r>
        </a:p>
        <a:p>
          <a:pPr algn="ctr"/>
          <a:r>
            <a:rPr lang="en-AU" sz="1600">
              <a:solidFill>
                <a:schemeClr val="bg1"/>
              </a:solidFill>
              <a:latin typeface="Arial" panose="020B0604020202020204" pitchFamily="34" charset="0"/>
              <a:cs typeface="Arial" panose="020B0604020202020204" pitchFamily="34" charset="0"/>
            </a:rPr>
            <a:t>Help Guide</a:t>
          </a:r>
        </a:p>
      </xdr:txBody>
    </xdr:sp>
    <xdr:clientData/>
  </xdr:twoCellAnchor>
  <xdr:twoCellAnchor>
    <xdr:from>
      <xdr:col>1</xdr:col>
      <xdr:colOff>4048126</xdr:colOff>
      <xdr:row>2</xdr:row>
      <xdr:rowOff>95250</xdr:rowOff>
    </xdr:from>
    <xdr:to>
      <xdr:col>1</xdr:col>
      <xdr:colOff>6267450</xdr:colOff>
      <xdr:row>3</xdr:row>
      <xdr:rowOff>152400</xdr:rowOff>
    </xdr:to>
    <xdr:sp macro="" textlink="">
      <xdr:nvSpPr>
        <xdr:cNvPr id="20" name="Rounded Rectangle 19">
          <a:hlinkClick xmlns:r="http://schemas.openxmlformats.org/officeDocument/2006/relationships" r:id="rId5"/>
        </xdr:cNvPr>
        <xdr:cNvSpPr/>
      </xdr:nvSpPr>
      <xdr:spPr>
        <a:xfrm>
          <a:off x="4267201" y="1647825"/>
          <a:ext cx="2219324" cy="247650"/>
        </a:xfrm>
        <a:prstGeom prst="roundRect">
          <a:avLst/>
        </a:prstGeom>
        <a:solidFill>
          <a:srgbClr val="C9CBCD"/>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050" b="1" baseline="0">
              <a:solidFill>
                <a:sysClr val="windowText" lastClr="000000"/>
              </a:solidFill>
              <a:latin typeface="Arial" panose="020B0604020202020204" pitchFamily="34" charset="0"/>
              <a:cs typeface="Arial" panose="020B0604020202020204" pitchFamily="34" charset="0"/>
            </a:rPr>
            <a:t>Return</a:t>
          </a:r>
          <a:r>
            <a:rPr lang="en-AU" sz="1050" b="1">
              <a:solidFill>
                <a:sysClr val="windowText" lastClr="000000"/>
              </a:solidFill>
              <a:latin typeface="Arial" panose="020B0604020202020204" pitchFamily="34" charset="0"/>
              <a:cs typeface="Arial" panose="020B0604020202020204" pitchFamily="34" charset="0"/>
            </a:rPr>
            <a:t> to calculator worksheet</a:t>
          </a:r>
        </a:p>
      </xdr:txBody>
    </xdr:sp>
    <xdr:clientData/>
  </xdr:twoCellAnchor>
  <xdr:twoCellAnchor editAs="oneCell">
    <xdr:from>
      <xdr:col>1</xdr:col>
      <xdr:colOff>9525</xdr:colOff>
      <xdr:row>51</xdr:row>
      <xdr:rowOff>19050</xdr:rowOff>
    </xdr:from>
    <xdr:to>
      <xdr:col>1</xdr:col>
      <xdr:colOff>6315075</xdr:colOff>
      <xdr:row>55</xdr:row>
      <xdr:rowOff>155398</xdr:rowOff>
    </xdr:to>
    <xdr:pic>
      <xdr:nvPicPr>
        <xdr:cNvPr id="8" name="Picture 7"/>
        <xdr:cNvPicPr>
          <a:picLocks noChangeAspect="1"/>
        </xdr:cNvPicPr>
      </xdr:nvPicPr>
      <xdr:blipFill>
        <a:blip xmlns:r="http://schemas.openxmlformats.org/officeDocument/2006/relationships" r:embed="rId6"/>
        <a:stretch>
          <a:fillRect/>
        </a:stretch>
      </xdr:blipFill>
      <xdr:spPr>
        <a:xfrm>
          <a:off x="228600" y="14430375"/>
          <a:ext cx="6305550" cy="898348"/>
        </a:xfrm>
        <a:prstGeom prst="rect">
          <a:avLst/>
        </a:prstGeom>
      </xdr:spPr>
    </xdr:pic>
    <xdr:clientData/>
  </xdr:twoCellAnchor>
  <xdr:twoCellAnchor editAs="oneCell">
    <xdr:from>
      <xdr:col>1</xdr:col>
      <xdr:colOff>9525</xdr:colOff>
      <xdr:row>61</xdr:row>
      <xdr:rowOff>57150</xdr:rowOff>
    </xdr:from>
    <xdr:to>
      <xdr:col>1</xdr:col>
      <xdr:colOff>6315075</xdr:colOff>
      <xdr:row>63</xdr:row>
      <xdr:rowOff>146817</xdr:rowOff>
    </xdr:to>
    <xdr:pic>
      <xdr:nvPicPr>
        <xdr:cNvPr id="12" name="Picture 11"/>
        <xdr:cNvPicPr>
          <a:picLocks noChangeAspect="1"/>
        </xdr:cNvPicPr>
      </xdr:nvPicPr>
      <xdr:blipFill>
        <a:blip xmlns:r="http://schemas.openxmlformats.org/officeDocument/2006/relationships" r:embed="rId7"/>
        <a:stretch>
          <a:fillRect/>
        </a:stretch>
      </xdr:blipFill>
      <xdr:spPr>
        <a:xfrm>
          <a:off x="228600" y="17135475"/>
          <a:ext cx="6305550" cy="470667"/>
        </a:xfrm>
        <a:prstGeom prst="rect">
          <a:avLst/>
        </a:prstGeom>
      </xdr:spPr>
    </xdr:pic>
    <xdr:clientData/>
  </xdr:twoCellAnchor>
  <xdr:twoCellAnchor editAs="oneCell">
    <xdr:from>
      <xdr:col>1</xdr:col>
      <xdr:colOff>19051</xdr:colOff>
      <xdr:row>75</xdr:row>
      <xdr:rowOff>28575</xdr:rowOff>
    </xdr:from>
    <xdr:to>
      <xdr:col>1</xdr:col>
      <xdr:colOff>2448765</xdr:colOff>
      <xdr:row>84</xdr:row>
      <xdr:rowOff>38100</xdr:rowOff>
    </xdr:to>
    <xdr:pic>
      <xdr:nvPicPr>
        <xdr:cNvPr id="14" name="Picture 13"/>
        <xdr:cNvPicPr>
          <a:picLocks noChangeAspect="1"/>
        </xdr:cNvPicPr>
      </xdr:nvPicPr>
      <xdr:blipFill>
        <a:blip xmlns:r="http://schemas.openxmlformats.org/officeDocument/2006/relationships" r:embed="rId8"/>
        <a:stretch>
          <a:fillRect/>
        </a:stretch>
      </xdr:blipFill>
      <xdr:spPr>
        <a:xfrm>
          <a:off x="238126" y="21297900"/>
          <a:ext cx="2429714" cy="1724025"/>
        </a:xfrm>
        <a:prstGeom prst="rect">
          <a:avLst/>
        </a:prstGeom>
      </xdr:spPr>
    </xdr:pic>
    <xdr:clientData/>
  </xdr:twoCellAnchor>
  <xdr:twoCellAnchor editAs="oneCell">
    <xdr:from>
      <xdr:col>1</xdr:col>
      <xdr:colOff>19050</xdr:colOff>
      <xdr:row>94</xdr:row>
      <xdr:rowOff>98426</xdr:rowOff>
    </xdr:from>
    <xdr:to>
      <xdr:col>1</xdr:col>
      <xdr:colOff>3571875</xdr:colOff>
      <xdr:row>103</xdr:row>
      <xdr:rowOff>117475</xdr:rowOff>
    </xdr:to>
    <xdr:pic>
      <xdr:nvPicPr>
        <xdr:cNvPr id="15" name="Picture 14"/>
        <xdr:cNvPicPr>
          <a:picLocks noChangeAspect="1"/>
        </xdr:cNvPicPr>
      </xdr:nvPicPr>
      <xdr:blipFill rotWithShape="1">
        <a:blip xmlns:r="http://schemas.openxmlformats.org/officeDocument/2006/relationships" r:embed="rId9"/>
        <a:srcRect l="1562" r="1302" b="5898"/>
        <a:stretch/>
      </xdr:blipFill>
      <xdr:spPr>
        <a:xfrm>
          <a:off x="241300" y="25720676"/>
          <a:ext cx="3552825" cy="1733549"/>
        </a:xfrm>
        <a:prstGeom prst="rect">
          <a:avLst/>
        </a:prstGeom>
      </xdr:spPr>
    </xdr:pic>
    <xdr:clientData/>
  </xdr:twoCellAnchor>
  <xdr:twoCellAnchor editAs="oneCell">
    <xdr:from>
      <xdr:col>1</xdr:col>
      <xdr:colOff>9526</xdr:colOff>
      <xdr:row>114</xdr:row>
      <xdr:rowOff>28576</xdr:rowOff>
    </xdr:from>
    <xdr:to>
      <xdr:col>1</xdr:col>
      <xdr:colOff>5888410</xdr:colOff>
      <xdr:row>121</xdr:row>
      <xdr:rowOff>0</xdr:rowOff>
    </xdr:to>
    <xdr:pic>
      <xdr:nvPicPr>
        <xdr:cNvPr id="2" name="Picture 1"/>
        <xdr:cNvPicPr>
          <a:picLocks noChangeAspect="1"/>
        </xdr:cNvPicPr>
      </xdr:nvPicPr>
      <xdr:blipFill>
        <a:blip xmlns:r="http://schemas.openxmlformats.org/officeDocument/2006/relationships" r:embed="rId10"/>
        <a:stretch>
          <a:fillRect/>
        </a:stretch>
      </xdr:blipFill>
      <xdr:spPr>
        <a:xfrm>
          <a:off x="228601" y="30060901"/>
          <a:ext cx="5878884" cy="1304924"/>
        </a:xfrm>
        <a:prstGeom prst="rect">
          <a:avLst/>
        </a:prstGeom>
      </xdr:spPr>
    </xdr:pic>
    <xdr:clientData/>
  </xdr:twoCellAnchor>
  <xdr:twoCellAnchor editAs="oneCell">
    <xdr:from>
      <xdr:col>1</xdr:col>
      <xdr:colOff>28576</xdr:colOff>
      <xdr:row>129</xdr:row>
      <xdr:rowOff>142875</xdr:rowOff>
    </xdr:from>
    <xdr:to>
      <xdr:col>1</xdr:col>
      <xdr:colOff>2973604</xdr:colOff>
      <xdr:row>140</xdr:row>
      <xdr:rowOff>28575</xdr:rowOff>
    </xdr:to>
    <xdr:pic>
      <xdr:nvPicPr>
        <xdr:cNvPr id="3" name="Picture 2"/>
        <xdr:cNvPicPr>
          <a:picLocks noChangeAspect="1"/>
        </xdr:cNvPicPr>
      </xdr:nvPicPr>
      <xdr:blipFill>
        <a:blip xmlns:r="http://schemas.openxmlformats.org/officeDocument/2006/relationships" r:embed="rId11"/>
        <a:stretch>
          <a:fillRect/>
        </a:stretch>
      </xdr:blipFill>
      <xdr:spPr>
        <a:xfrm>
          <a:off x="247651" y="33794700"/>
          <a:ext cx="2945028" cy="1981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1619250</xdr:colOff>
      <xdr:row>0</xdr:row>
      <xdr:rowOff>95250</xdr:rowOff>
    </xdr:from>
    <xdr:to>
      <xdr:col>21</xdr:col>
      <xdr:colOff>160890</xdr:colOff>
      <xdr:row>1</xdr:row>
      <xdr:rowOff>266655</xdr:rowOff>
    </xdr:to>
    <xdr:pic>
      <xdr:nvPicPr>
        <xdr:cNvPr id="3" name="Picture 2"/>
        <xdr:cNvPicPr>
          <a:picLocks noChangeAspect="1"/>
        </xdr:cNvPicPr>
      </xdr:nvPicPr>
      <xdr:blipFill>
        <a:blip xmlns:r="http://schemas.openxmlformats.org/officeDocument/2006/relationships" r:embed="rId1"/>
        <a:stretch>
          <a:fillRect/>
        </a:stretch>
      </xdr:blipFill>
      <xdr:spPr>
        <a:xfrm>
          <a:off x="14944725" y="95250"/>
          <a:ext cx="8276190" cy="36190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image" Target="../media/image1.emf"/><Relationship Id="rId4" Type="http://schemas.openxmlformats.org/officeDocument/2006/relationships/control" Target="../activeX/activeX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2:U111"/>
  <sheetViews>
    <sheetView showGridLines="0" tabSelected="1" zoomScale="80" zoomScaleNormal="80" workbookViewId="0">
      <selection activeCell="C16" sqref="C16"/>
    </sheetView>
  </sheetViews>
  <sheetFormatPr defaultColWidth="9.140625" defaultRowHeight="15" x14ac:dyDescent="0.25"/>
  <cols>
    <col min="1" max="1" width="5" style="78" customWidth="1"/>
    <col min="2" max="2" width="62" style="78" customWidth="1"/>
    <col min="3" max="3" width="23" style="78" customWidth="1"/>
    <col min="4" max="4" width="23.5703125" style="78" customWidth="1"/>
    <col min="5" max="8" width="16.28515625" style="78" customWidth="1"/>
    <col min="9" max="9" width="17.28515625" style="78" customWidth="1"/>
    <col min="10" max="10" width="5.140625" style="78" customWidth="1"/>
    <col min="11" max="15" width="20.7109375" style="78" customWidth="1"/>
    <col min="16" max="16" width="5" style="78" customWidth="1"/>
    <col min="17" max="16384" width="9.140625" style="78"/>
  </cols>
  <sheetData>
    <row r="2" spans="1:19" ht="167.1" customHeight="1" x14ac:dyDescent="0.25">
      <c r="A2" s="78" t="s">
        <v>84</v>
      </c>
      <c r="B2" s="149"/>
      <c r="C2" s="149"/>
      <c r="D2" s="149"/>
      <c r="E2" s="169"/>
      <c r="F2" s="169"/>
      <c r="G2" s="169"/>
      <c r="H2" s="169"/>
      <c r="I2" s="149"/>
      <c r="J2" s="149"/>
      <c r="K2" s="150"/>
      <c r="L2" s="150"/>
      <c r="M2" s="150"/>
      <c r="N2" s="168"/>
      <c r="O2" s="168"/>
      <c r="P2" s="168"/>
    </row>
    <row r="3" spans="1:19" ht="39.950000000000003" customHeight="1" x14ac:dyDescent="0.25">
      <c r="B3" s="170"/>
      <c r="C3" s="170"/>
      <c r="D3" s="170"/>
      <c r="E3" s="171"/>
      <c r="F3" s="171"/>
      <c r="G3" s="171"/>
      <c r="H3" s="171"/>
      <c r="I3" s="170"/>
      <c r="J3" s="170"/>
      <c r="K3" s="172"/>
      <c r="L3" s="172"/>
      <c r="M3" s="172"/>
      <c r="N3" s="173"/>
      <c r="O3" s="174" t="s">
        <v>99</v>
      </c>
      <c r="P3" s="173"/>
    </row>
    <row r="4" spans="1:19" ht="20.100000000000001" customHeight="1" x14ac:dyDescent="0.25">
      <c r="B4" s="199"/>
      <c r="C4" s="200"/>
      <c r="D4" s="200"/>
      <c r="E4" s="200"/>
      <c r="F4" s="200"/>
      <c r="G4" s="200"/>
      <c r="H4" s="200"/>
      <c r="I4" s="201"/>
      <c r="J4" s="202"/>
      <c r="K4" s="202"/>
      <c r="L4" s="202"/>
      <c r="M4" s="202"/>
      <c r="N4" s="202"/>
      <c r="O4" s="202"/>
      <c r="P4" s="202"/>
    </row>
    <row r="5" spans="1:19" ht="20.100000000000001" customHeight="1" x14ac:dyDescent="0.3">
      <c r="B5" s="259" t="s">
        <v>0</v>
      </c>
      <c r="C5" s="226" t="s">
        <v>1</v>
      </c>
      <c r="D5" s="264"/>
      <c r="E5" s="264"/>
      <c r="F5" s="264"/>
      <c r="G5" s="264"/>
      <c r="H5" s="264"/>
      <c r="I5" s="264"/>
      <c r="J5" s="220"/>
      <c r="K5" s="258" t="s">
        <v>141</v>
      </c>
      <c r="L5" s="258"/>
      <c r="M5" s="258"/>
      <c r="N5" s="203"/>
      <c r="O5" s="203"/>
      <c r="P5" s="202"/>
    </row>
    <row r="6" spans="1:19" ht="20.100000000000001" customHeight="1" x14ac:dyDescent="0.25">
      <c r="B6" s="260"/>
      <c r="C6" s="227" t="s">
        <v>2</v>
      </c>
      <c r="D6" s="264"/>
      <c r="E6" s="264"/>
      <c r="F6" s="264"/>
      <c r="G6" s="264"/>
      <c r="H6" s="264"/>
      <c r="I6" s="264"/>
      <c r="J6" s="220"/>
      <c r="K6" s="192" t="s">
        <v>142</v>
      </c>
      <c r="L6" s="190" t="s">
        <v>143</v>
      </c>
      <c r="M6" s="191" t="s">
        <v>40</v>
      </c>
      <c r="N6" s="204"/>
      <c r="O6" s="204"/>
      <c r="P6" s="202"/>
    </row>
    <row r="7" spans="1:19" ht="20.100000000000001" customHeight="1" x14ac:dyDescent="0.25">
      <c r="B7" s="202"/>
      <c r="C7" s="202"/>
      <c r="D7" s="202"/>
      <c r="E7" s="202"/>
      <c r="F7" s="202"/>
      <c r="G7" s="202"/>
      <c r="H7" s="208"/>
      <c r="I7" s="208"/>
      <c r="J7" s="208"/>
      <c r="K7" s="239"/>
      <c r="L7" s="239"/>
      <c r="M7" s="239"/>
      <c r="N7" s="204"/>
      <c r="O7" s="204"/>
      <c r="P7" s="202"/>
      <c r="S7" s="78" t="s">
        <v>84</v>
      </c>
    </row>
    <row r="8" spans="1:19" ht="20.100000000000001" customHeight="1" x14ac:dyDescent="0.25">
      <c r="B8" s="265" t="s">
        <v>144</v>
      </c>
      <c r="C8" s="261" t="s">
        <v>11</v>
      </c>
      <c r="D8" s="262"/>
      <c r="E8" s="262"/>
      <c r="F8" s="262"/>
      <c r="G8" s="262"/>
      <c r="H8" s="262"/>
      <c r="I8" s="262"/>
      <c r="J8" s="208"/>
      <c r="K8" s="209"/>
      <c r="L8" s="210"/>
      <c r="M8" s="210"/>
      <c r="N8" s="202"/>
      <c r="O8" s="202"/>
      <c r="P8" s="202"/>
    </row>
    <row r="9" spans="1:19" ht="20.100000000000001" customHeight="1" x14ac:dyDescent="0.25">
      <c r="B9" s="266"/>
      <c r="C9" s="263"/>
      <c r="D9" s="263"/>
      <c r="E9" s="263"/>
      <c r="F9" s="263"/>
      <c r="G9" s="263"/>
      <c r="H9" s="263"/>
      <c r="I9" s="263"/>
      <c r="J9" s="208"/>
      <c r="K9" s="209"/>
      <c r="L9" s="210"/>
      <c r="M9" s="210"/>
      <c r="N9" s="202"/>
      <c r="O9" s="202"/>
      <c r="P9" s="202"/>
    </row>
    <row r="10" spans="1:19" ht="20.100000000000001" customHeight="1" x14ac:dyDescent="0.25">
      <c r="B10" s="219"/>
      <c r="C10" s="219"/>
      <c r="D10" s="219"/>
      <c r="E10" s="219"/>
      <c r="F10" s="219"/>
      <c r="G10" s="219"/>
      <c r="H10" s="208"/>
      <c r="I10" s="208"/>
      <c r="J10" s="208"/>
      <c r="K10" s="208"/>
      <c r="L10" s="202"/>
      <c r="M10" s="202"/>
      <c r="N10" s="202"/>
      <c r="O10" s="202"/>
      <c r="P10" s="202"/>
    </row>
    <row r="11" spans="1:19" ht="20.100000000000001" customHeight="1" x14ac:dyDescent="0.3">
      <c r="B11" s="219"/>
      <c r="C11" s="219"/>
      <c r="D11" s="219"/>
      <c r="E11" s="250" t="s">
        <v>22</v>
      </c>
      <c r="F11" s="250"/>
      <c r="G11" s="250"/>
      <c r="H11" s="250"/>
      <c r="I11" s="250"/>
      <c r="J11" s="202"/>
      <c r="K11" s="249" t="s">
        <v>86</v>
      </c>
      <c r="L11" s="249"/>
      <c r="M11" s="249"/>
      <c r="N11" s="249"/>
      <c r="O11" s="249"/>
      <c r="P11" s="202"/>
    </row>
    <row r="12" spans="1:19" ht="20.100000000000001" customHeight="1" x14ac:dyDescent="0.25">
      <c r="B12" s="228" t="s">
        <v>27</v>
      </c>
      <c r="C12" s="229" t="s">
        <v>39</v>
      </c>
      <c r="D12" s="230" t="s">
        <v>59</v>
      </c>
      <c r="E12" s="229" t="s">
        <v>23</v>
      </c>
      <c r="F12" s="229" t="s">
        <v>24</v>
      </c>
      <c r="G12" s="229" t="s">
        <v>25</v>
      </c>
      <c r="H12" s="229" t="s">
        <v>69</v>
      </c>
      <c r="I12" s="229" t="s">
        <v>70</v>
      </c>
      <c r="J12" s="202"/>
      <c r="K12" s="267" t="str">
        <f>IFERROR(VLOOKUP($C$8,Tables!$B$201:$I$215,4,FALSE),"")</f>
        <v xml:space="preserve">F2.3(b) If not more than 10 people are employed, a unisex facility may be provided instead of facilities for each sex. </v>
      </c>
      <c r="L12" s="267" t="str">
        <f>IFERROR(VLOOKUP($C$8,Tables!$B$201:$I$215,5,FALSE),"")</f>
        <v>F2.3(d) Employees and the public may share the same facilities in a Class 6 and 9b building (other than a school or  early childhood centre) provided the number of facilities provided is not less than the total number of facilities for employees plus those required for the public.</v>
      </c>
      <c r="M12" s="267" t="str">
        <f>IFERROR(VLOOKUP($C$8,Tables!$B$201:$I$215,6,FALSE),"")</f>
        <v>Where shower facilities are required, refer to F2.4(b) for requirements for the provision of accessible unisex showers.</v>
      </c>
      <c r="N12" s="267" t="str">
        <f>IFERROR(VLOOKUP($C$8,Tables!$B$201:$I$215,7,FALSE),"")</f>
        <v>NIL</v>
      </c>
      <c r="O12" s="267" t="str">
        <f>IFERROR(VLOOKUP($C$8,Tables!$B$201:$I$215,8,FALSE),"")</f>
        <v xml:space="preserve">One unisex accessible adult change facility must be provided in an accessible part of a Class 9b sports venue or the like that has a design occupancy of not less than 35,000 spectators, OR contains a swimming pool that has a perimeter of not less than 70m and that is required by Table D3.1 to be accessible.  Refer to F2.9 for further details. </v>
      </c>
      <c r="P12" s="202"/>
    </row>
    <row r="13" spans="1:19" ht="20.100000000000001" customHeight="1" x14ac:dyDescent="0.25">
      <c r="B13" s="194" t="s">
        <v>41</v>
      </c>
      <c r="C13" s="193"/>
      <c r="D13" s="196" t="str">
        <f>VLOOKUP($C$8,Tables!$B$184:$G$198, 4, FALSE)</f>
        <v>employees</v>
      </c>
      <c r="E13" s="197">
        <f>Tables!J8</f>
        <v>0</v>
      </c>
      <c r="F13" s="197">
        <f>Tables!K8</f>
        <v>0</v>
      </c>
      <c r="G13" s="197">
        <f>Tables!L8</f>
        <v>0</v>
      </c>
      <c r="H13" s="197" t="str">
        <f>Tables!M8</f>
        <v>NA</v>
      </c>
      <c r="I13" s="197" t="str">
        <f>Tables!N8</f>
        <v>NA</v>
      </c>
      <c r="J13" s="201"/>
      <c r="K13" s="267"/>
      <c r="L13" s="267"/>
      <c r="M13" s="267"/>
      <c r="N13" s="267"/>
      <c r="O13" s="267"/>
      <c r="P13" s="202"/>
    </row>
    <row r="14" spans="1:19" ht="20.100000000000001" customHeight="1" x14ac:dyDescent="0.25">
      <c r="B14" s="194" t="s">
        <v>42</v>
      </c>
      <c r="C14" s="193"/>
      <c r="D14" s="196" t="str">
        <f>VLOOKUP($C$8,Tables!$B$184:$G$198, 4, FALSE)</f>
        <v>employees</v>
      </c>
      <c r="E14" s="197">
        <f>Tables!J9</f>
        <v>0</v>
      </c>
      <c r="F14" s="197" t="str">
        <f>Tables!K9</f>
        <v>NA</v>
      </c>
      <c r="G14" s="197">
        <f>Tables!L9</f>
        <v>0</v>
      </c>
      <c r="H14" s="197" t="str">
        <f>Tables!M9</f>
        <v>NA</v>
      </c>
      <c r="I14" s="197" t="str">
        <f>Tables!N9</f>
        <v>NA</v>
      </c>
      <c r="J14" s="201"/>
      <c r="K14" s="267"/>
      <c r="L14" s="267"/>
      <c r="M14" s="267"/>
      <c r="N14" s="267"/>
      <c r="O14" s="267"/>
      <c r="P14" s="202"/>
    </row>
    <row r="15" spans="1:19" ht="20.100000000000001" customHeight="1" x14ac:dyDescent="0.25">
      <c r="B15" s="214"/>
      <c r="C15" s="215"/>
      <c r="D15" s="216"/>
      <c r="E15" s="273"/>
      <c r="F15" s="273"/>
      <c r="G15" s="273"/>
      <c r="H15" s="218"/>
      <c r="I15" s="218"/>
      <c r="J15" s="201"/>
      <c r="K15" s="267"/>
      <c r="L15" s="267"/>
      <c r="M15" s="267"/>
      <c r="N15" s="267"/>
      <c r="O15" s="267"/>
      <c r="P15" s="202"/>
    </row>
    <row r="16" spans="1:19" ht="20.100000000000001" customHeight="1" x14ac:dyDescent="0.25">
      <c r="B16" s="195" t="str">
        <f>IF(OR(D16="children",D16="residents"),"No gender applies","Male")</f>
        <v>Male</v>
      </c>
      <c r="C16" s="193"/>
      <c r="D16" s="196" t="str">
        <f>VLOOKUP($C$8,Tables!$B$184:$G$198, 5, FALSE)</f>
        <v>spectators or patrons</v>
      </c>
      <c r="E16" s="197">
        <f>Tables!J11</f>
        <v>0</v>
      </c>
      <c r="F16" s="197">
        <f>Tables!K11</f>
        <v>0</v>
      </c>
      <c r="G16" s="197">
        <f>Tables!L11</f>
        <v>0</v>
      </c>
      <c r="H16" s="197" t="str">
        <f>Tables!M11</f>
        <v>NA</v>
      </c>
      <c r="I16" s="197" t="str">
        <f>Tables!N11</f>
        <v>NA</v>
      </c>
      <c r="J16" s="201"/>
      <c r="K16" s="267"/>
      <c r="L16" s="267"/>
      <c r="M16" s="267"/>
      <c r="N16" s="267"/>
      <c r="O16" s="267"/>
      <c r="P16" s="202"/>
    </row>
    <row r="17" spans="2:16" ht="20.100000000000001" customHeight="1" x14ac:dyDescent="0.25">
      <c r="B17" s="195" t="str">
        <f>IF(OR(D17="children",D17="residents"),"NA: do not enter value here","Female")</f>
        <v>Female</v>
      </c>
      <c r="C17" s="193"/>
      <c r="D17" s="196" t="str">
        <f>VLOOKUP($C$8,Tables!$B$184:$G$198, 5, FALSE)</f>
        <v>spectators or patrons</v>
      </c>
      <c r="E17" s="197">
        <f>Tables!J12</f>
        <v>0</v>
      </c>
      <c r="F17" s="197" t="str">
        <f>Tables!K12</f>
        <v>NA</v>
      </c>
      <c r="G17" s="197">
        <f>Tables!L12</f>
        <v>0</v>
      </c>
      <c r="H17" s="197" t="str">
        <f>Tables!M12</f>
        <v>NA</v>
      </c>
      <c r="I17" s="197" t="str">
        <f>Tables!N12</f>
        <v>NA</v>
      </c>
      <c r="J17" s="201"/>
      <c r="K17" s="267"/>
      <c r="L17" s="267"/>
      <c r="M17" s="267"/>
      <c r="N17" s="267"/>
      <c r="O17" s="267"/>
      <c r="P17" s="202"/>
    </row>
    <row r="18" spans="2:16" ht="20.100000000000001" customHeight="1" x14ac:dyDescent="0.25">
      <c r="B18" s="214"/>
      <c r="C18" s="215"/>
      <c r="D18" s="216"/>
      <c r="E18" s="273"/>
      <c r="F18" s="273"/>
      <c r="G18" s="273"/>
      <c r="H18" s="217"/>
      <c r="I18" s="217"/>
      <c r="J18" s="201"/>
      <c r="K18" s="267"/>
      <c r="L18" s="267"/>
      <c r="M18" s="267"/>
      <c r="N18" s="267"/>
      <c r="O18" s="267"/>
      <c r="P18" s="202"/>
    </row>
    <row r="19" spans="2:16" ht="20.100000000000001" customHeight="1" x14ac:dyDescent="0.25">
      <c r="B19" s="195" t="str">
        <f>IF(D19="NA","","Male")</f>
        <v>Male</v>
      </c>
      <c r="C19" s="193"/>
      <c r="D19" s="196" t="str">
        <f>VLOOKUP($C$8,Tables!$B$184:$G$198, 6, FALSE)</f>
        <v>participants</v>
      </c>
      <c r="E19" s="197">
        <f>Tables!J14</f>
        <v>0</v>
      </c>
      <c r="F19" s="197">
        <f>Tables!K14</f>
        <v>0</v>
      </c>
      <c r="G19" s="197">
        <f>Tables!L14</f>
        <v>0</v>
      </c>
      <c r="H19" s="197">
        <f>Tables!M14</f>
        <v>0</v>
      </c>
      <c r="I19" s="197" t="str">
        <f>Tables!N14</f>
        <v>0</v>
      </c>
      <c r="J19" s="201"/>
      <c r="K19" s="267"/>
      <c r="L19" s="267"/>
      <c r="M19" s="267"/>
      <c r="N19" s="267"/>
      <c r="O19" s="267"/>
      <c r="P19" s="202"/>
    </row>
    <row r="20" spans="2:16" ht="20.100000000000001" customHeight="1" x14ac:dyDescent="0.25">
      <c r="B20" s="195" t="str">
        <f>IF(D20="NA","","Female")</f>
        <v>Female</v>
      </c>
      <c r="C20" s="193"/>
      <c r="D20" s="196" t="str">
        <f>VLOOKUP($C$8,Tables!$B$184:$G$198, 6, FALSE)</f>
        <v>participants</v>
      </c>
      <c r="E20" s="198">
        <f>Tables!J15</f>
        <v>0</v>
      </c>
      <c r="F20" s="198" t="str">
        <f>Tables!K15</f>
        <v>NA</v>
      </c>
      <c r="G20" s="198">
        <f>Tables!L15</f>
        <v>0</v>
      </c>
      <c r="H20" s="198">
        <f>Tables!M15</f>
        <v>0</v>
      </c>
      <c r="I20" s="198" t="str">
        <f>Tables!N15</f>
        <v>0</v>
      </c>
      <c r="J20" s="202"/>
      <c r="K20" s="267"/>
      <c r="L20" s="267"/>
      <c r="M20" s="267"/>
      <c r="N20" s="267"/>
      <c r="O20" s="267"/>
      <c r="P20" s="202"/>
    </row>
    <row r="21" spans="2:16" ht="20.100000000000001" customHeight="1" x14ac:dyDescent="0.25">
      <c r="B21" s="211"/>
      <c r="C21" s="212"/>
      <c r="D21" s="202" t="s">
        <v>84</v>
      </c>
      <c r="E21" s="270" t="s">
        <v>178</v>
      </c>
      <c r="F21" s="270"/>
      <c r="G21" s="270"/>
      <c r="H21" s="270"/>
      <c r="I21" s="270"/>
      <c r="J21" s="202"/>
      <c r="K21" s="267"/>
      <c r="L21" s="267"/>
      <c r="M21" s="267"/>
      <c r="N21" s="267"/>
      <c r="O21" s="267"/>
      <c r="P21" s="202"/>
    </row>
    <row r="22" spans="2:16" ht="20.100000000000001" customHeight="1" x14ac:dyDescent="0.25">
      <c r="B22" s="211"/>
      <c r="C22" s="213"/>
      <c r="D22" s="236"/>
      <c r="E22" s="271"/>
      <c r="F22" s="271"/>
      <c r="G22" s="271"/>
      <c r="H22" s="271"/>
      <c r="I22" s="271"/>
      <c r="J22" s="202"/>
      <c r="K22" s="267"/>
      <c r="L22" s="267"/>
      <c r="M22" s="267"/>
      <c r="N22" s="267"/>
      <c r="O22" s="267"/>
      <c r="P22" s="202"/>
    </row>
    <row r="23" spans="2:16" ht="20.100000000000001" customHeight="1" x14ac:dyDescent="0.25">
      <c r="B23" s="211"/>
      <c r="C23" s="213"/>
      <c r="D23" s="202"/>
      <c r="E23" s="271"/>
      <c r="F23" s="271"/>
      <c r="G23" s="271"/>
      <c r="H23" s="271"/>
      <c r="I23" s="271"/>
      <c r="J23" s="202"/>
      <c r="K23" s="267"/>
      <c r="L23" s="267"/>
      <c r="M23" s="267"/>
      <c r="N23" s="267"/>
      <c r="O23" s="267"/>
      <c r="P23" s="202"/>
    </row>
    <row r="24" spans="2:16" ht="19.5" customHeight="1" x14ac:dyDescent="0.25">
      <c r="B24" s="211"/>
      <c r="C24" s="213"/>
      <c r="D24" s="202"/>
      <c r="E24" s="271"/>
      <c r="F24" s="271"/>
      <c r="G24" s="271"/>
      <c r="H24" s="271"/>
      <c r="I24" s="271"/>
      <c r="J24" s="202"/>
      <c r="K24" s="267"/>
      <c r="L24" s="267"/>
      <c r="M24" s="267"/>
      <c r="N24" s="267"/>
      <c r="O24" s="267"/>
      <c r="P24" s="202"/>
    </row>
    <row r="25" spans="2:16" ht="81" customHeight="1" x14ac:dyDescent="0.25">
      <c r="B25" s="211" t="s">
        <v>84</v>
      </c>
      <c r="C25" s="213"/>
      <c r="D25" s="202"/>
      <c r="E25" s="272"/>
      <c r="F25" s="272"/>
      <c r="G25" s="272"/>
      <c r="H25" s="272"/>
      <c r="I25" s="272"/>
      <c r="J25" s="202"/>
      <c r="K25" s="268"/>
      <c r="L25" s="268"/>
      <c r="M25" s="268"/>
      <c r="N25" s="268"/>
      <c r="O25" s="268"/>
      <c r="P25" s="202"/>
    </row>
    <row r="26" spans="2:16" ht="20.100000000000001" customHeight="1" x14ac:dyDescent="0.25">
      <c r="B26" s="202"/>
      <c r="C26" s="202"/>
      <c r="D26" s="202"/>
      <c r="E26" s="202"/>
      <c r="F26" s="202"/>
      <c r="G26" s="202"/>
      <c r="H26" s="202"/>
      <c r="I26" s="202"/>
      <c r="J26" s="202"/>
      <c r="K26" s="205"/>
      <c r="L26" s="205"/>
      <c r="M26" s="205"/>
      <c r="N26" s="205"/>
      <c r="O26" s="205"/>
      <c r="P26" s="202"/>
    </row>
    <row r="27" spans="2:16" ht="86.25" customHeight="1" x14ac:dyDescent="0.25">
      <c r="B27" s="269" t="s">
        <v>87</v>
      </c>
      <c r="C27" s="269"/>
      <c r="D27" s="269"/>
      <c r="E27" s="257" t="s">
        <v>175</v>
      </c>
      <c r="F27" s="257"/>
      <c r="G27" s="257"/>
      <c r="H27" s="257"/>
      <c r="I27" s="257"/>
      <c r="J27" s="205"/>
      <c r="K27" s="206"/>
      <c r="L27" s="205"/>
      <c r="M27" s="205"/>
      <c r="N27" s="205"/>
      <c r="O27" s="205"/>
      <c r="P27" s="202"/>
    </row>
    <row r="28" spans="2:16" ht="42" customHeight="1" x14ac:dyDescent="0.25">
      <c r="B28" s="274" t="s">
        <v>100</v>
      </c>
      <c r="C28" s="274"/>
      <c r="D28" s="221">
        <v>2</v>
      </c>
      <c r="E28" s="254" t="s">
        <v>187</v>
      </c>
      <c r="F28" s="254"/>
      <c r="G28" s="254"/>
      <c r="H28" s="254"/>
      <c r="I28" s="254"/>
      <c r="J28" s="205"/>
      <c r="K28" s="252"/>
      <c r="L28" s="252"/>
      <c r="M28" s="252"/>
      <c r="N28" s="252"/>
      <c r="O28" s="252"/>
      <c r="P28" s="202"/>
    </row>
    <row r="29" spans="2:16" ht="42" customHeight="1" x14ac:dyDescent="0.25">
      <c r="B29" s="274" t="s">
        <v>191</v>
      </c>
      <c r="C29" s="274"/>
      <c r="D29" s="221">
        <v>2</v>
      </c>
      <c r="E29" s="256"/>
      <c r="F29" s="256"/>
      <c r="G29" s="256"/>
      <c r="H29" s="256"/>
      <c r="I29" s="256"/>
      <c r="J29" s="205"/>
      <c r="K29" s="253"/>
      <c r="L29" s="253"/>
      <c r="M29" s="253"/>
      <c r="N29" s="253"/>
      <c r="O29" s="253"/>
      <c r="P29" s="202"/>
    </row>
    <row r="30" spans="2:16" ht="42" customHeight="1" x14ac:dyDescent="0.25">
      <c r="B30" s="251" t="s">
        <v>101</v>
      </c>
      <c r="C30" s="251"/>
      <c r="D30" s="222">
        <f>IF($D$29=0,"NA",ROUNDUP(SUM($D$29*0.5),0))</f>
        <v>1</v>
      </c>
      <c r="E30" s="254" t="s">
        <v>192</v>
      </c>
      <c r="F30" s="254"/>
      <c r="G30" s="254"/>
      <c r="H30" s="254"/>
      <c r="I30" s="254"/>
      <c r="J30" s="202"/>
      <c r="K30" s="207"/>
      <c r="L30" s="207"/>
      <c r="M30" s="207"/>
      <c r="N30" s="207"/>
      <c r="O30" s="207"/>
      <c r="P30" s="202"/>
    </row>
    <row r="31" spans="2:16" ht="42" customHeight="1" x14ac:dyDescent="0.25">
      <c r="B31" s="277" t="s">
        <v>182</v>
      </c>
      <c r="C31" s="277"/>
      <c r="D31" s="222">
        <f>IF($D$29=0,"NA",ROUNDUP(SUM($D$29*0.5),0))</f>
        <v>1</v>
      </c>
      <c r="E31" s="255"/>
      <c r="F31" s="255"/>
      <c r="G31" s="255"/>
      <c r="H31" s="255"/>
      <c r="I31" s="255"/>
      <c r="J31" s="202"/>
      <c r="K31" s="207"/>
      <c r="L31" s="207"/>
      <c r="M31" s="207"/>
      <c r="N31" s="207"/>
      <c r="O31" s="207"/>
      <c r="P31" s="202"/>
    </row>
    <row r="32" spans="2:16" ht="42" customHeight="1" x14ac:dyDescent="0.25">
      <c r="B32" s="277" t="s">
        <v>183</v>
      </c>
      <c r="C32" s="277"/>
      <c r="D32" s="222">
        <f>IF($D$29=0,"NA",ROUNDUP(SUM($D$29*0.5),0))</f>
        <v>1</v>
      </c>
      <c r="E32" s="256"/>
      <c r="F32" s="256"/>
      <c r="G32" s="256"/>
      <c r="H32" s="256"/>
      <c r="I32" s="256"/>
      <c r="J32" s="202"/>
      <c r="K32" s="207"/>
      <c r="L32" s="207"/>
      <c r="M32" s="207"/>
      <c r="N32" s="207"/>
      <c r="O32" s="207"/>
      <c r="P32" s="202"/>
    </row>
    <row r="33" spans="2:19" ht="42" customHeight="1" x14ac:dyDescent="0.25">
      <c r="B33" s="251" t="s">
        <v>102</v>
      </c>
      <c r="C33" s="251"/>
      <c r="D33" s="222">
        <f>IF($D$30="NA","NA",ROUNDUP(SUM($D$30*$D$28),0))</f>
        <v>2</v>
      </c>
      <c r="E33" s="275" t="s">
        <v>98</v>
      </c>
      <c r="F33" s="275"/>
      <c r="G33" s="275"/>
      <c r="H33" s="275"/>
      <c r="I33" s="275"/>
      <c r="J33" s="202"/>
      <c r="K33" s="207"/>
      <c r="L33" s="207"/>
      <c r="M33" s="207"/>
      <c r="N33" s="207"/>
      <c r="O33" s="207"/>
      <c r="P33" s="202"/>
      <c r="Q33" s="111"/>
      <c r="R33" s="111"/>
    </row>
    <row r="34" spans="2:19" ht="42" customHeight="1" x14ac:dyDescent="0.25">
      <c r="B34" s="251" t="s">
        <v>181</v>
      </c>
      <c r="C34" s="251"/>
      <c r="D34" s="222">
        <f>IF($D$30="NA","NA",ROUNDUP(SUM(($D$31+$D$32)*$D$28),0))</f>
        <v>4</v>
      </c>
      <c r="E34" s="276"/>
      <c r="F34" s="276"/>
      <c r="G34" s="276"/>
      <c r="H34" s="276"/>
      <c r="I34" s="276"/>
      <c r="J34" s="202"/>
      <c r="K34" s="207"/>
      <c r="L34" s="207"/>
      <c r="M34" s="207"/>
      <c r="N34" s="207"/>
      <c r="O34" s="207"/>
      <c r="P34" s="202"/>
      <c r="Q34" s="111"/>
      <c r="R34" s="111"/>
    </row>
    <row r="35" spans="2:19" ht="20.25" customHeight="1" x14ac:dyDescent="0.25">
      <c r="B35" s="202"/>
      <c r="C35" s="202"/>
      <c r="D35" s="202"/>
      <c r="E35" s="202"/>
      <c r="F35" s="202"/>
      <c r="G35" s="202"/>
      <c r="H35" s="202"/>
      <c r="I35" s="202"/>
      <c r="J35" s="202"/>
      <c r="K35" s="207"/>
      <c r="L35" s="207"/>
      <c r="M35" s="207"/>
      <c r="N35" s="207"/>
      <c r="O35" s="207"/>
      <c r="P35" s="202"/>
      <c r="Q35" s="111"/>
      <c r="R35" s="111"/>
    </row>
    <row r="36" spans="2:19" x14ac:dyDescent="0.25">
      <c r="B36" s="151"/>
      <c r="C36" s="151"/>
      <c r="D36" s="151"/>
      <c r="E36" s="151"/>
      <c r="F36" s="151"/>
      <c r="G36" s="151"/>
      <c r="H36" s="151"/>
      <c r="I36" s="151"/>
      <c r="J36" s="151"/>
      <c r="K36" s="152"/>
      <c r="L36" s="152"/>
      <c r="M36" s="152"/>
      <c r="N36" s="152"/>
      <c r="O36" s="152"/>
      <c r="P36" s="151"/>
      <c r="Q36" s="112"/>
      <c r="R36" s="112"/>
    </row>
    <row r="37" spans="2:19" x14ac:dyDescent="0.25">
      <c r="B37" s="151"/>
      <c r="C37" s="151"/>
      <c r="D37" s="151"/>
      <c r="E37" s="151"/>
      <c r="F37" s="151"/>
      <c r="G37" s="151"/>
      <c r="H37" s="151"/>
      <c r="I37" s="151"/>
      <c r="J37" s="151"/>
      <c r="K37" s="151"/>
      <c r="L37" s="151"/>
      <c r="M37" s="151"/>
      <c r="N37" s="151"/>
      <c r="O37" s="151"/>
      <c r="P37" s="151"/>
      <c r="Q37" s="112"/>
      <c r="R37" s="112"/>
    </row>
    <row r="38" spans="2:19" s="113" customFormat="1" x14ac:dyDescent="0.25">
      <c r="P38" s="114"/>
      <c r="Q38" s="114"/>
      <c r="R38" s="114"/>
    </row>
    <row r="39" spans="2:19" s="113" customFormat="1" x14ac:dyDescent="0.25">
      <c r="P39" s="114"/>
      <c r="Q39" s="114"/>
      <c r="R39" s="114"/>
    </row>
    <row r="40" spans="2:19" s="113" customFormat="1" x14ac:dyDescent="0.25">
      <c r="B40" s="115"/>
      <c r="C40" s="115"/>
      <c r="D40" s="115"/>
      <c r="E40" s="115"/>
      <c r="F40" s="115"/>
      <c r="G40" s="115"/>
      <c r="H40" s="115"/>
      <c r="I40" s="115"/>
      <c r="J40" s="115"/>
      <c r="K40" s="115"/>
      <c r="L40" s="115"/>
      <c r="M40" s="115"/>
      <c r="N40" s="115"/>
      <c r="O40" s="115"/>
      <c r="P40" s="115"/>
      <c r="Q40" s="115"/>
      <c r="R40" s="115"/>
      <c r="S40" s="116"/>
    </row>
    <row r="41" spans="2:19" s="113" customFormat="1" x14ac:dyDescent="0.25">
      <c r="S41" s="116"/>
    </row>
    <row r="42" spans="2:19" s="113" customFormat="1" x14ac:dyDescent="0.25">
      <c r="S42" s="116"/>
    </row>
    <row r="43" spans="2:19" s="113" customFormat="1" x14ac:dyDescent="0.25">
      <c r="S43" s="116"/>
    </row>
    <row r="44" spans="2:19" s="113" customFormat="1" x14ac:dyDescent="0.25">
      <c r="S44" s="116"/>
    </row>
    <row r="45" spans="2:19" s="113" customFormat="1" x14ac:dyDescent="0.25">
      <c r="S45" s="116"/>
    </row>
    <row r="46" spans="2:19" s="113" customFormat="1" x14ac:dyDescent="0.25">
      <c r="S46" s="116"/>
    </row>
    <row r="47" spans="2:19" s="113" customFormat="1" x14ac:dyDescent="0.25">
      <c r="S47" s="116"/>
    </row>
    <row r="48" spans="2:19" s="113" customFormat="1" x14ac:dyDescent="0.25">
      <c r="S48" s="116"/>
    </row>
    <row r="49" spans="2:19" s="113" customFormat="1" x14ac:dyDescent="0.25">
      <c r="S49" s="116"/>
    </row>
    <row r="50" spans="2:19" s="113" customFormat="1" x14ac:dyDescent="0.25">
      <c r="S50" s="116"/>
    </row>
    <row r="51" spans="2:19" s="113" customFormat="1" x14ac:dyDescent="0.25">
      <c r="S51" s="116"/>
    </row>
    <row r="52" spans="2:19" s="113" customFormat="1" x14ac:dyDescent="0.25">
      <c r="B52" s="117"/>
      <c r="C52" s="117"/>
      <c r="D52" s="117"/>
      <c r="E52" s="117"/>
      <c r="F52" s="117"/>
      <c r="G52" s="117"/>
      <c r="H52" s="117"/>
      <c r="I52" s="117"/>
      <c r="J52" s="117"/>
      <c r="K52" s="117"/>
      <c r="L52" s="117"/>
      <c r="M52" s="117"/>
      <c r="N52" s="117"/>
      <c r="O52" s="117"/>
      <c r="P52" s="117"/>
      <c r="Q52" s="117"/>
      <c r="R52" s="117"/>
      <c r="S52" s="116"/>
    </row>
    <row r="53" spans="2:19" s="113" customFormat="1" x14ac:dyDescent="0.25">
      <c r="B53" s="117"/>
      <c r="C53" s="117"/>
      <c r="D53" s="117"/>
      <c r="E53" s="117"/>
      <c r="F53" s="117"/>
      <c r="G53" s="117"/>
      <c r="H53" s="117"/>
      <c r="I53" s="117"/>
      <c r="J53" s="117"/>
      <c r="K53" s="117"/>
      <c r="L53" s="117"/>
      <c r="M53" s="117"/>
      <c r="N53" s="117"/>
      <c r="O53" s="117"/>
      <c r="P53" s="117"/>
      <c r="Q53" s="117"/>
      <c r="R53" s="117"/>
      <c r="S53" s="116"/>
    </row>
    <row r="54" spans="2:19" s="113" customFormat="1" x14ac:dyDescent="0.25">
      <c r="B54" s="117"/>
      <c r="C54" s="117"/>
      <c r="D54" s="117"/>
      <c r="E54" s="117"/>
      <c r="F54" s="117"/>
      <c r="G54" s="117"/>
      <c r="H54" s="117"/>
      <c r="I54" s="117"/>
      <c r="J54" s="117"/>
      <c r="K54" s="117"/>
      <c r="L54" s="117"/>
      <c r="M54" s="117"/>
      <c r="N54" s="117"/>
      <c r="O54" s="117"/>
      <c r="P54" s="117"/>
      <c r="Q54" s="117"/>
      <c r="R54" s="117"/>
      <c r="S54" s="116"/>
    </row>
    <row r="55" spans="2:19" s="113" customFormat="1" x14ac:dyDescent="0.25">
      <c r="B55" s="117"/>
      <c r="C55" s="117"/>
      <c r="D55" s="117"/>
      <c r="E55" s="117"/>
      <c r="F55" s="117"/>
      <c r="G55" s="117"/>
      <c r="H55" s="117"/>
      <c r="I55" s="117"/>
      <c r="J55" s="117"/>
      <c r="K55" s="117"/>
      <c r="L55" s="117"/>
      <c r="M55" s="117"/>
      <c r="N55" s="117"/>
      <c r="O55" s="117"/>
      <c r="P55" s="117"/>
      <c r="Q55" s="117"/>
      <c r="R55" s="117"/>
      <c r="S55" s="116"/>
    </row>
    <row r="56" spans="2:19" s="113" customFormat="1" x14ac:dyDescent="0.25">
      <c r="B56" s="117"/>
      <c r="C56" s="117"/>
      <c r="D56" s="117"/>
      <c r="E56" s="117"/>
      <c r="F56" s="117"/>
      <c r="G56" s="117"/>
      <c r="H56" s="117"/>
      <c r="I56" s="117"/>
      <c r="J56" s="117"/>
      <c r="K56" s="117"/>
      <c r="L56" s="117"/>
      <c r="M56" s="117"/>
      <c r="N56" s="117"/>
      <c r="O56" s="117"/>
      <c r="P56" s="117"/>
      <c r="Q56" s="117"/>
      <c r="R56" s="117"/>
      <c r="S56" s="116"/>
    </row>
    <row r="57" spans="2:19" s="113" customFormat="1" x14ac:dyDescent="0.25">
      <c r="B57" s="117"/>
      <c r="C57" s="117"/>
      <c r="D57" s="117"/>
      <c r="E57" s="117"/>
      <c r="F57" s="117"/>
      <c r="G57" s="117"/>
      <c r="H57" s="117"/>
      <c r="I57" s="117"/>
      <c r="J57" s="117"/>
      <c r="K57" s="117"/>
      <c r="L57" s="117"/>
      <c r="M57" s="117"/>
      <c r="N57" s="117"/>
      <c r="O57" s="117"/>
      <c r="P57" s="117"/>
      <c r="Q57" s="117"/>
      <c r="R57" s="117"/>
      <c r="S57" s="116"/>
    </row>
    <row r="58" spans="2:19" s="113" customFormat="1" x14ac:dyDescent="0.25">
      <c r="B58" s="117"/>
      <c r="C58" s="117"/>
      <c r="D58" s="117"/>
      <c r="E58" s="117"/>
      <c r="F58" s="117"/>
      <c r="G58" s="117"/>
      <c r="H58" s="117"/>
      <c r="I58" s="117"/>
      <c r="J58" s="117"/>
      <c r="K58" s="117"/>
      <c r="L58" s="117"/>
      <c r="M58" s="117"/>
      <c r="N58" s="117"/>
      <c r="O58" s="117"/>
      <c r="P58" s="117"/>
      <c r="Q58" s="117"/>
      <c r="R58" s="117"/>
      <c r="S58" s="116"/>
    </row>
    <row r="59" spans="2:19" s="113" customFormat="1" x14ac:dyDescent="0.25">
      <c r="B59" s="117"/>
      <c r="C59" s="117"/>
      <c r="D59" s="117"/>
      <c r="E59" s="117"/>
      <c r="F59" s="117"/>
      <c r="G59" s="117"/>
      <c r="H59" s="117"/>
      <c r="I59" s="117"/>
      <c r="J59" s="117"/>
      <c r="K59" s="117"/>
      <c r="L59" s="117"/>
      <c r="M59" s="117"/>
      <c r="N59" s="117"/>
      <c r="O59" s="117"/>
      <c r="P59" s="117"/>
      <c r="Q59" s="117"/>
      <c r="R59" s="117"/>
      <c r="S59" s="116"/>
    </row>
    <row r="60" spans="2:19" s="113" customFormat="1" x14ac:dyDescent="0.25">
      <c r="B60" s="117"/>
      <c r="C60" s="117"/>
      <c r="D60" s="117"/>
      <c r="E60" s="117"/>
      <c r="F60" s="117"/>
      <c r="G60" s="117"/>
      <c r="H60" s="117"/>
      <c r="I60" s="117"/>
      <c r="J60" s="117"/>
      <c r="K60" s="117"/>
      <c r="L60" s="117"/>
      <c r="M60" s="117"/>
      <c r="N60" s="117"/>
      <c r="O60" s="117"/>
      <c r="P60" s="117"/>
      <c r="Q60" s="117"/>
      <c r="R60" s="117"/>
      <c r="S60" s="116"/>
    </row>
    <row r="61" spans="2:19" s="113" customFormat="1" ht="121.5" customHeight="1" x14ac:dyDescent="0.25">
      <c r="J61" s="130"/>
      <c r="K61" s="131"/>
      <c r="L61" s="115"/>
      <c r="M61" s="115"/>
      <c r="N61" s="115"/>
      <c r="O61" s="115"/>
      <c r="P61" s="115"/>
      <c r="Q61" s="115"/>
      <c r="R61" s="115"/>
    </row>
    <row r="62" spans="2:19" s="113" customFormat="1" x14ac:dyDescent="0.25">
      <c r="J62" s="115"/>
      <c r="K62" s="115"/>
      <c r="L62" s="115"/>
      <c r="M62" s="115"/>
      <c r="N62" s="115"/>
      <c r="O62" s="115"/>
      <c r="P62" s="115"/>
      <c r="Q62" s="115"/>
      <c r="R62" s="115"/>
    </row>
    <row r="63" spans="2:19" s="113" customFormat="1" x14ac:dyDescent="0.25">
      <c r="J63" s="115"/>
      <c r="K63" s="115"/>
      <c r="L63" s="115"/>
      <c r="M63" s="115"/>
      <c r="N63" s="115"/>
      <c r="O63" s="115"/>
      <c r="P63" s="115"/>
      <c r="Q63" s="115"/>
      <c r="R63" s="115"/>
    </row>
    <row r="64" spans="2:19" s="113" customFormat="1" x14ac:dyDescent="0.25">
      <c r="J64" s="115"/>
      <c r="K64" s="115"/>
      <c r="L64" s="115"/>
      <c r="M64" s="115"/>
      <c r="N64" s="115"/>
      <c r="O64" s="115"/>
      <c r="P64" s="115"/>
      <c r="Q64" s="115"/>
      <c r="R64" s="115"/>
    </row>
    <row r="65" spans="10:18" s="113" customFormat="1" x14ac:dyDescent="0.25">
      <c r="J65" s="115"/>
      <c r="K65" s="115"/>
      <c r="L65" s="115"/>
      <c r="M65" s="115"/>
      <c r="N65" s="115"/>
      <c r="O65" s="115"/>
      <c r="P65" s="115"/>
      <c r="Q65" s="115"/>
      <c r="R65" s="115"/>
    </row>
    <row r="66" spans="10:18" s="113" customFormat="1" x14ac:dyDescent="0.25">
      <c r="J66" s="115"/>
      <c r="K66" s="115"/>
      <c r="L66" s="115"/>
      <c r="M66" s="115"/>
      <c r="N66" s="115"/>
      <c r="O66" s="115"/>
      <c r="P66" s="115"/>
      <c r="Q66" s="115"/>
      <c r="R66" s="115"/>
    </row>
    <row r="67" spans="10:18" s="113" customFormat="1" x14ac:dyDescent="0.25">
      <c r="J67" s="115"/>
      <c r="K67" s="115"/>
      <c r="L67" s="115"/>
      <c r="M67" s="115"/>
      <c r="N67" s="115"/>
      <c r="O67" s="115"/>
      <c r="P67" s="115"/>
      <c r="Q67" s="115"/>
      <c r="R67" s="115"/>
    </row>
    <row r="68" spans="10:18" s="113" customFormat="1" x14ac:dyDescent="0.25">
      <c r="J68" s="115"/>
      <c r="K68" s="115"/>
      <c r="L68" s="115"/>
      <c r="M68" s="115"/>
      <c r="N68" s="115"/>
      <c r="O68" s="115"/>
      <c r="P68" s="115"/>
      <c r="Q68" s="115"/>
      <c r="R68" s="115"/>
    </row>
    <row r="69" spans="10:18" s="113" customFormat="1" x14ac:dyDescent="0.25">
      <c r="J69" s="115"/>
      <c r="K69" s="115"/>
      <c r="L69" s="115"/>
      <c r="M69" s="115"/>
      <c r="N69" s="115"/>
      <c r="O69" s="115"/>
      <c r="P69" s="115"/>
      <c r="Q69" s="115"/>
      <c r="R69" s="115"/>
    </row>
    <row r="70" spans="10:18" s="113" customFormat="1" x14ac:dyDescent="0.25">
      <c r="J70" s="115"/>
      <c r="K70" s="115"/>
      <c r="L70" s="115"/>
      <c r="M70" s="115"/>
      <c r="N70" s="115"/>
      <c r="O70" s="115"/>
      <c r="P70" s="115"/>
      <c r="Q70" s="115"/>
      <c r="R70" s="115"/>
    </row>
    <row r="71" spans="10:18" s="113" customFormat="1" x14ac:dyDescent="0.25">
      <c r="J71" s="115"/>
      <c r="K71" s="115"/>
      <c r="L71" s="115"/>
      <c r="M71" s="115"/>
      <c r="N71" s="115"/>
      <c r="O71" s="115"/>
      <c r="P71" s="115"/>
      <c r="Q71" s="115"/>
      <c r="R71" s="115"/>
    </row>
    <row r="72" spans="10:18" s="113" customFormat="1" x14ac:dyDescent="0.25">
      <c r="J72" s="115"/>
      <c r="K72" s="115"/>
      <c r="L72" s="115"/>
      <c r="M72" s="115"/>
      <c r="N72" s="115"/>
      <c r="O72" s="115"/>
      <c r="P72" s="115"/>
      <c r="Q72" s="115"/>
      <c r="R72" s="115"/>
    </row>
    <row r="73" spans="10:18" s="113" customFormat="1" x14ac:dyDescent="0.25">
      <c r="J73" s="115"/>
      <c r="K73" s="115"/>
      <c r="L73" s="115"/>
      <c r="M73" s="115"/>
      <c r="N73" s="115"/>
      <c r="O73" s="115"/>
      <c r="P73" s="115"/>
      <c r="Q73" s="115"/>
      <c r="R73" s="115"/>
    </row>
    <row r="74" spans="10:18" s="113" customFormat="1" x14ac:dyDescent="0.25">
      <c r="J74" s="115"/>
      <c r="K74" s="115"/>
      <c r="L74" s="115"/>
      <c r="M74" s="115"/>
      <c r="N74" s="115"/>
      <c r="O74" s="115"/>
      <c r="P74" s="115"/>
      <c r="Q74" s="115"/>
      <c r="R74" s="115"/>
    </row>
    <row r="75" spans="10:18" s="113" customFormat="1" x14ac:dyDescent="0.25">
      <c r="J75" s="115"/>
      <c r="K75" s="115"/>
      <c r="L75" s="115"/>
      <c r="M75" s="115"/>
      <c r="N75" s="115"/>
      <c r="O75" s="115"/>
      <c r="P75" s="115"/>
      <c r="Q75" s="115"/>
      <c r="R75" s="115"/>
    </row>
    <row r="76" spans="10:18" s="113" customFormat="1" x14ac:dyDescent="0.25">
      <c r="J76" s="115"/>
      <c r="K76" s="115"/>
      <c r="L76" s="115"/>
      <c r="M76" s="115"/>
      <c r="N76" s="115"/>
      <c r="O76" s="115"/>
      <c r="P76" s="115"/>
      <c r="Q76" s="115"/>
      <c r="R76" s="115"/>
    </row>
    <row r="77" spans="10:18" s="113" customFormat="1" x14ac:dyDescent="0.25">
      <c r="J77" s="115"/>
      <c r="K77" s="115"/>
      <c r="L77" s="115"/>
      <c r="M77" s="115"/>
      <c r="N77" s="115"/>
      <c r="O77" s="115"/>
      <c r="P77" s="115"/>
      <c r="Q77" s="115"/>
      <c r="R77" s="115"/>
    </row>
    <row r="78" spans="10:18" s="113" customFormat="1" x14ac:dyDescent="0.25">
      <c r="J78" s="115"/>
      <c r="K78" s="115"/>
      <c r="L78" s="115"/>
      <c r="M78" s="115"/>
      <c r="N78" s="115"/>
      <c r="O78" s="115"/>
      <c r="P78" s="115"/>
      <c r="Q78" s="115"/>
      <c r="R78" s="115"/>
    </row>
    <row r="79" spans="10:18" s="113" customFormat="1" ht="216.75" customHeight="1" x14ac:dyDescent="0.25">
      <c r="J79" s="115"/>
      <c r="K79" s="115"/>
      <c r="L79" s="115"/>
      <c r="M79" s="115"/>
      <c r="N79" s="115"/>
      <c r="O79" s="115"/>
      <c r="P79" s="115"/>
      <c r="Q79" s="115"/>
      <c r="R79" s="115"/>
    </row>
    <row r="80" spans="10:18" s="113" customFormat="1" x14ac:dyDescent="0.25">
      <c r="J80" s="115"/>
      <c r="K80" s="115"/>
      <c r="L80" s="115"/>
      <c r="M80" s="115"/>
      <c r="N80" s="115"/>
      <c r="O80" s="115"/>
      <c r="P80" s="115"/>
      <c r="Q80" s="115"/>
      <c r="R80" s="115"/>
    </row>
    <row r="81" spans="1:21" s="113" customFormat="1" x14ac:dyDescent="0.25">
      <c r="J81" s="115"/>
      <c r="K81" s="115"/>
      <c r="L81" s="115"/>
      <c r="M81" s="115"/>
      <c r="N81" s="115"/>
      <c r="O81" s="115"/>
      <c r="P81" s="115"/>
      <c r="Q81" s="115"/>
      <c r="R81" s="115"/>
    </row>
    <row r="82" spans="1:21" s="113" customFormat="1" x14ac:dyDescent="0.25">
      <c r="J82" s="115"/>
      <c r="K82" s="115"/>
      <c r="L82" s="115"/>
      <c r="M82" s="115"/>
      <c r="N82" s="115"/>
      <c r="O82" s="115"/>
      <c r="P82" s="115"/>
      <c r="Q82" s="115"/>
      <c r="R82" s="115"/>
    </row>
    <row r="83" spans="1:21" s="113" customFormat="1" x14ac:dyDescent="0.25">
      <c r="J83" s="115"/>
      <c r="K83" s="115"/>
      <c r="L83" s="115"/>
      <c r="M83" s="115"/>
      <c r="N83" s="115"/>
      <c r="O83" s="115"/>
      <c r="P83" s="115"/>
      <c r="Q83" s="115"/>
      <c r="R83" s="115"/>
    </row>
    <row r="84" spans="1:21" s="113" customFormat="1" x14ac:dyDescent="0.25">
      <c r="J84" s="118"/>
      <c r="K84" s="118"/>
      <c r="L84" s="118"/>
      <c r="M84" s="118"/>
      <c r="N84" s="118"/>
      <c r="O84" s="115"/>
      <c r="P84" s="115"/>
      <c r="Q84" s="115"/>
      <c r="R84" s="115"/>
    </row>
    <row r="85" spans="1:21" ht="201.75" customHeight="1" x14ac:dyDescent="0.25">
      <c r="J85" s="119"/>
      <c r="K85" s="119"/>
      <c r="L85" s="118"/>
      <c r="M85" s="118"/>
      <c r="N85" s="118"/>
      <c r="O85" s="115"/>
      <c r="P85" s="115"/>
      <c r="Q85" s="115"/>
      <c r="R85" s="115"/>
      <c r="S85" s="113"/>
      <c r="T85" s="113"/>
      <c r="U85" s="113"/>
    </row>
    <row r="86" spans="1:21" x14ac:dyDescent="0.25">
      <c r="J86" s="119"/>
      <c r="K86" s="119"/>
      <c r="L86" s="118"/>
      <c r="M86" s="118"/>
      <c r="N86" s="118"/>
      <c r="O86" s="115"/>
      <c r="P86" s="115"/>
      <c r="Q86" s="115"/>
      <c r="R86" s="115"/>
      <c r="S86" s="113"/>
      <c r="T86" s="113"/>
      <c r="U86" s="113"/>
    </row>
    <row r="87" spans="1:21" x14ac:dyDescent="0.25">
      <c r="J87" s="119"/>
      <c r="K87" s="119"/>
      <c r="L87" s="118"/>
      <c r="M87" s="118"/>
      <c r="N87" s="118"/>
      <c r="O87" s="115"/>
      <c r="P87" s="115"/>
      <c r="Q87" s="115"/>
      <c r="R87" s="115"/>
      <c r="S87" s="113"/>
      <c r="T87" s="113"/>
      <c r="U87" s="113"/>
    </row>
    <row r="88" spans="1:21" x14ac:dyDescent="0.25">
      <c r="J88" s="119"/>
      <c r="K88" s="119"/>
      <c r="L88" s="118"/>
      <c r="M88" s="118"/>
      <c r="N88" s="118"/>
      <c r="O88" s="115"/>
      <c r="P88" s="115"/>
      <c r="Q88" s="115"/>
      <c r="R88" s="115"/>
      <c r="S88" s="113"/>
      <c r="T88" s="113"/>
      <c r="U88" s="113"/>
    </row>
    <row r="89" spans="1:21" x14ac:dyDescent="0.25">
      <c r="J89" s="119"/>
      <c r="K89" s="119"/>
      <c r="L89" s="118"/>
      <c r="M89" s="118"/>
      <c r="N89" s="118"/>
      <c r="O89" s="115"/>
      <c r="P89" s="115"/>
      <c r="Q89" s="115"/>
      <c r="R89" s="115"/>
      <c r="S89" s="113"/>
      <c r="T89" s="113"/>
      <c r="U89" s="113"/>
    </row>
    <row r="90" spans="1:21" x14ac:dyDescent="0.25">
      <c r="J90" s="119"/>
      <c r="K90" s="119"/>
      <c r="L90" s="118"/>
      <c r="M90" s="118"/>
      <c r="N90" s="118"/>
      <c r="O90" s="115"/>
      <c r="P90" s="115"/>
      <c r="Q90" s="115"/>
      <c r="R90" s="115"/>
      <c r="S90" s="113"/>
      <c r="T90" s="113"/>
      <c r="U90" s="113"/>
    </row>
    <row r="91" spans="1:21" ht="87.75" customHeight="1" x14ac:dyDescent="0.25">
      <c r="J91" s="119"/>
      <c r="K91" s="119"/>
      <c r="L91" s="119"/>
      <c r="M91" s="119"/>
      <c r="N91" s="119"/>
      <c r="O91" s="115"/>
      <c r="P91" s="115"/>
      <c r="Q91" s="115"/>
      <c r="R91" s="115"/>
      <c r="S91" s="113"/>
      <c r="T91" s="113"/>
      <c r="U91" s="113"/>
    </row>
    <row r="92" spans="1:21" x14ac:dyDescent="0.25">
      <c r="J92" s="119"/>
      <c r="K92" s="119"/>
      <c r="L92" s="119"/>
      <c r="M92" s="119"/>
      <c r="N92" s="119"/>
      <c r="O92" s="115"/>
      <c r="P92" s="115"/>
      <c r="Q92" s="115"/>
      <c r="R92" s="115"/>
      <c r="S92" s="113"/>
      <c r="T92" s="113"/>
      <c r="U92" s="113"/>
    </row>
    <row r="93" spans="1:21" ht="185.25" customHeight="1" x14ac:dyDescent="0.25">
      <c r="J93" s="119"/>
      <c r="K93" s="119"/>
      <c r="L93" s="119"/>
      <c r="M93" s="119"/>
      <c r="N93" s="119"/>
      <c r="O93" s="115"/>
      <c r="P93" s="115"/>
      <c r="Q93" s="115"/>
      <c r="R93" s="115"/>
      <c r="S93" s="113"/>
      <c r="T93" s="113"/>
      <c r="U93" s="113"/>
    </row>
    <row r="94" spans="1:21" x14ac:dyDescent="0.25">
      <c r="A94" s="128"/>
      <c r="B94" s="128"/>
      <c r="C94" s="128"/>
      <c r="D94" s="128"/>
      <c r="E94" s="129"/>
      <c r="F94" s="129"/>
      <c r="G94" s="129"/>
      <c r="H94" s="129"/>
      <c r="I94" s="129"/>
      <c r="J94" s="129"/>
      <c r="K94" s="129"/>
      <c r="L94" s="119"/>
      <c r="M94" s="119"/>
      <c r="N94" s="119"/>
      <c r="O94" s="115"/>
      <c r="P94" s="115"/>
      <c r="Q94" s="115"/>
      <c r="R94" s="115"/>
      <c r="S94" s="113"/>
      <c r="T94" s="113"/>
      <c r="U94" s="113"/>
    </row>
    <row r="95" spans="1:21" x14ac:dyDescent="0.25">
      <c r="A95" s="128"/>
      <c r="B95" s="128"/>
      <c r="C95" s="128"/>
      <c r="D95" s="128"/>
      <c r="E95" s="129"/>
      <c r="F95" s="129"/>
      <c r="G95" s="129"/>
      <c r="H95" s="129"/>
      <c r="I95" s="129"/>
      <c r="J95" s="129"/>
      <c r="K95" s="129"/>
      <c r="L95" s="119"/>
      <c r="M95" s="119"/>
      <c r="N95" s="119"/>
      <c r="O95" s="115"/>
      <c r="P95" s="115"/>
      <c r="Q95" s="115"/>
      <c r="R95" s="115"/>
      <c r="S95" s="113"/>
      <c r="T95" s="113"/>
      <c r="U95" s="113"/>
    </row>
    <row r="96" spans="1:21" x14ac:dyDescent="0.25">
      <c r="A96" s="128"/>
      <c r="B96" s="128"/>
      <c r="C96" s="128"/>
      <c r="D96" s="128"/>
      <c r="E96" s="129"/>
      <c r="F96" s="129"/>
      <c r="G96" s="129"/>
      <c r="H96" s="129"/>
      <c r="I96" s="129"/>
      <c r="J96" s="129"/>
      <c r="K96" s="129"/>
      <c r="L96" s="119"/>
      <c r="M96" s="119"/>
      <c r="N96" s="119"/>
      <c r="O96" s="115"/>
      <c r="P96" s="115"/>
      <c r="Q96" s="115"/>
      <c r="R96" s="115"/>
      <c r="S96" s="113"/>
      <c r="T96" s="113"/>
      <c r="U96" s="113"/>
    </row>
    <row r="97" spans="1:21" ht="15" customHeight="1" x14ac:dyDescent="0.25">
      <c r="A97" s="124"/>
      <c r="B97" s="125"/>
      <c r="C97" s="125"/>
      <c r="D97" s="125"/>
      <c r="E97" s="125"/>
      <c r="F97" s="126"/>
      <c r="G97" s="126"/>
      <c r="H97" s="126"/>
      <c r="I97" s="126"/>
      <c r="J97" s="126"/>
      <c r="K97" s="126"/>
      <c r="L97" s="120"/>
      <c r="M97" s="120"/>
      <c r="N97" s="121"/>
      <c r="O97" s="117"/>
      <c r="P97" s="117"/>
      <c r="Q97" s="117"/>
      <c r="R97" s="117"/>
      <c r="S97" s="113"/>
      <c r="T97" s="113"/>
      <c r="U97" s="113"/>
    </row>
    <row r="98" spans="1:21" x14ac:dyDescent="0.25">
      <c r="A98" s="124"/>
      <c r="B98" s="125"/>
      <c r="C98" s="125"/>
      <c r="D98" s="125"/>
      <c r="E98" s="126"/>
      <c r="F98" s="126"/>
      <c r="G98" s="126"/>
      <c r="H98" s="126"/>
      <c r="I98" s="126"/>
      <c r="J98" s="126"/>
      <c r="K98" s="126"/>
      <c r="L98" s="120"/>
      <c r="M98" s="120"/>
      <c r="N98" s="121"/>
      <c r="O98" s="117"/>
      <c r="P98" s="117"/>
      <c r="Q98" s="117"/>
      <c r="R98" s="117"/>
      <c r="S98" s="113"/>
      <c r="T98" s="113"/>
      <c r="U98" s="113"/>
    </row>
    <row r="99" spans="1:21" x14ac:dyDescent="0.25">
      <c r="A99" s="124"/>
      <c r="B99" s="124"/>
      <c r="C99" s="124"/>
      <c r="D99" s="124"/>
      <c r="E99" s="127"/>
      <c r="F99" s="127"/>
      <c r="G99" s="127"/>
      <c r="H99" s="127"/>
      <c r="I99" s="127"/>
      <c r="J99" s="127"/>
      <c r="K99" s="127"/>
      <c r="L99" s="122"/>
      <c r="M99" s="122"/>
      <c r="N99" s="123"/>
      <c r="O99" s="113"/>
      <c r="P99" s="113"/>
      <c r="Q99" s="113"/>
      <c r="R99" s="113"/>
      <c r="S99" s="113"/>
      <c r="T99" s="113"/>
      <c r="U99" s="113"/>
    </row>
    <row r="100" spans="1:21" x14ac:dyDescent="0.25">
      <c r="A100" s="124"/>
      <c r="B100" s="124"/>
      <c r="C100" s="124"/>
      <c r="D100" s="124"/>
      <c r="E100" s="127"/>
      <c r="F100" s="127"/>
      <c r="G100" s="127"/>
      <c r="H100" s="127"/>
      <c r="I100" s="127"/>
      <c r="J100" s="127"/>
      <c r="K100" s="127"/>
      <c r="L100" s="122"/>
      <c r="M100" s="122"/>
      <c r="N100" s="123"/>
      <c r="O100" s="113"/>
      <c r="P100" s="113"/>
      <c r="Q100" s="113"/>
      <c r="R100" s="113"/>
      <c r="S100" s="113"/>
      <c r="T100" s="113"/>
      <c r="U100" s="113"/>
    </row>
    <row r="101" spans="1:21" x14ac:dyDescent="0.25">
      <c r="A101" s="124"/>
      <c r="B101" s="124"/>
      <c r="C101" s="124"/>
      <c r="D101" s="124"/>
      <c r="E101" s="127"/>
      <c r="F101" s="127"/>
      <c r="G101" s="127"/>
      <c r="H101" s="127"/>
      <c r="I101" s="127"/>
      <c r="J101" s="127"/>
      <c r="K101" s="127"/>
      <c r="L101" s="122"/>
      <c r="M101" s="122"/>
      <c r="N101" s="123"/>
      <c r="O101" s="113"/>
      <c r="P101" s="113"/>
      <c r="Q101" s="113"/>
      <c r="R101" s="113"/>
      <c r="S101" s="113"/>
      <c r="T101" s="113"/>
      <c r="U101" s="113"/>
    </row>
    <row r="102" spans="1:21" x14ac:dyDescent="0.25">
      <c r="B102" s="113"/>
      <c r="C102" s="113"/>
      <c r="D102" s="113"/>
      <c r="E102" s="122"/>
      <c r="F102" s="122"/>
      <c r="G102" s="122"/>
      <c r="H102" s="122"/>
      <c r="I102" s="122"/>
      <c r="J102" s="122"/>
      <c r="K102" s="122"/>
      <c r="L102" s="122"/>
      <c r="M102" s="122"/>
      <c r="N102" s="123"/>
      <c r="O102" s="113"/>
      <c r="P102" s="113"/>
      <c r="Q102" s="113"/>
      <c r="R102" s="113"/>
      <c r="S102" s="113"/>
      <c r="T102" s="113"/>
      <c r="U102" s="113"/>
    </row>
    <row r="103" spans="1:21" x14ac:dyDescent="0.25">
      <c r="B103" s="113"/>
      <c r="C103" s="113"/>
      <c r="D103" s="113"/>
      <c r="E103" s="113"/>
      <c r="F103" s="113"/>
      <c r="G103" s="113"/>
      <c r="H103" s="113"/>
      <c r="I103" s="113"/>
      <c r="J103" s="113"/>
      <c r="K103" s="113"/>
      <c r="L103" s="113"/>
      <c r="M103" s="113"/>
      <c r="N103" s="113"/>
      <c r="O103" s="113"/>
      <c r="P103" s="113"/>
      <c r="Q103" s="113"/>
      <c r="R103" s="113"/>
      <c r="S103" s="113"/>
      <c r="T103" s="113"/>
      <c r="U103" s="113"/>
    </row>
    <row r="104" spans="1:21" x14ac:dyDescent="0.25">
      <c r="B104" s="113"/>
      <c r="C104" s="113"/>
      <c r="D104" s="113"/>
      <c r="E104" s="113"/>
      <c r="F104" s="113"/>
      <c r="G104" s="113"/>
      <c r="H104" s="113"/>
      <c r="I104" s="113"/>
      <c r="J104" s="113"/>
      <c r="K104" s="113"/>
      <c r="L104" s="113"/>
      <c r="M104" s="113"/>
      <c r="N104" s="113"/>
      <c r="O104" s="113"/>
      <c r="P104" s="113"/>
      <c r="Q104" s="113"/>
      <c r="R104" s="113"/>
      <c r="S104" s="113"/>
      <c r="T104" s="113"/>
      <c r="U104" s="113"/>
    </row>
    <row r="105" spans="1:21" x14ac:dyDescent="0.25">
      <c r="B105" s="113"/>
      <c r="C105" s="113"/>
      <c r="D105" s="113"/>
      <c r="E105" s="113"/>
      <c r="F105" s="113"/>
      <c r="G105" s="113"/>
      <c r="H105" s="113"/>
      <c r="I105" s="113"/>
      <c r="J105" s="113"/>
      <c r="K105" s="113"/>
      <c r="L105" s="113"/>
      <c r="M105" s="113"/>
      <c r="N105" s="113"/>
      <c r="O105" s="113"/>
      <c r="P105" s="113"/>
      <c r="Q105" s="113"/>
      <c r="R105" s="113"/>
      <c r="S105" s="113"/>
      <c r="T105" s="113"/>
      <c r="U105" s="113"/>
    </row>
    <row r="106" spans="1:21" x14ac:dyDescent="0.25">
      <c r="B106" s="113"/>
      <c r="C106" s="113"/>
      <c r="D106" s="113"/>
      <c r="E106" s="113"/>
      <c r="F106" s="113"/>
      <c r="G106" s="113"/>
      <c r="H106" s="113"/>
      <c r="I106" s="113"/>
      <c r="J106" s="113"/>
      <c r="K106" s="113"/>
      <c r="L106" s="113"/>
      <c r="M106" s="113"/>
      <c r="N106" s="113"/>
      <c r="O106" s="113"/>
      <c r="P106" s="113"/>
      <c r="Q106" s="113"/>
      <c r="R106" s="113"/>
      <c r="S106" s="113"/>
      <c r="T106" s="113"/>
      <c r="U106" s="113"/>
    </row>
    <row r="107" spans="1:21" x14ac:dyDescent="0.25">
      <c r="B107" s="113"/>
      <c r="C107" s="113"/>
      <c r="D107" s="113"/>
      <c r="E107" s="113"/>
      <c r="F107" s="113"/>
      <c r="G107" s="113"/>
      <c r="H107" s="113"/>
      <c r="I107" s="113"/>
      <c r="J107" s="113"/>
      <c r="K107" s="113"/>
      <c r="L107" s="113"/>
      <c r="M107" s="113"/>
      <c r="N107" s="113"/>
      <c r="O107" s="113"/>
      <c r="P107" s="113"/>
      <c r="Q107" s="113"/>
      <c r="R107" s="113"/>
      <c r="S107" s="113"/>
      <c r="T107" s="113"/>
      <c r="U107" s="113"/>
    </row>
    <row r="108" spans="1:21" x14ac:dyDescent="0.25">
      <c r="B108" s="113"/>
      <c r="C108" s="113"/>
      <c r="D108" s="113"/>
      <c r="E108" s="113"/>
      <c r="F108" s="113"/>
      <c r="G108" s="113"/>
      <c r="H108" s="113"/>
      <c r="I108" s="113"/>
      <c r="J108" s="113"/>
      <c r="K108" s="113"/>
      <c r="L108" s="113"/>
      <c r="M108" s="113"/>
      <c r="N108" s="113"/>
      <c r="O108" s="113"/>
      <c r="P108" s="113"/>
      <c r="Q108" s="113"/>
      <c r="R108" s="113"/>
      <c r="S108" s="113"/>
      <c r="T108" s="113"/>
      <c r="U108" s="113"/>
    </row>
    <row r="109" spans="1:21" x14ac:dyDescent="0.25">
      <c r="B109" s="113"/>
      <c r="C109" s="113"/>
      <c r="D109" s="113"/>
      <c r="E109" s="113"/>
      <c r="F109" s="113"/>
      <c r="G109" s="113"/>
      <c r="H109" s="113"/>
      <c r="I109" s="113"/>
      <c r="J109" s="113"/>
      <c r="K109" s="113"/>
      <c r="L109" s="113"/>
      <c r="M109" s="113"/>
      <c r="N109" s="113"/>
      <c r="O109" s="113"/>
      <c r="P109" s="113"/>
      <c r="Q109" s="113"/>
      <c r="R109" s="113"/>
      <c r="S109" s="113"/>
      <c r="T109" s="113"/>
      <c r="U109" s="113"/>
    </row>
    <row r="110" spans="1:21" x14ac:dyDescent="0.25">
      <c r="B110" s="113"/>
      <c r="C110" s="113"/>
      <c r="D110" s="113"/>
      <c r="E110" s="113"/>
      <c r="F110" s="113"/>
      <c r="G110" s="113"/>
      <c r="H110" s="113"/>
      <c r="I110" s="113"/>
      <c r="J110" s="113"/>
      <c r="K110" s="113"/>
      <c r="L110" s="113"/>
      <c r="M110" s="113"/>
      <c r="N110" s="113"/>
      <c r="O110" s="113"/>
      <c r="P110" s="113"/>
      <c r="Q110" s="113"/>
      <c r="R110" s="113"/>
      <c r="S110" s="113"/>
      <c r="T110" s="113"/>
      <c r="U110" s="113"/>
    </row>
    <row r="111" spans="1:21" x14ac:dyDescent="0.25">
      <c r="B111" s="113"/>
      <c r="C111" s="113"/>
      <c r="D111" s="113"/>
      <c r="E111" s="113"/>
      <c r="F111" s="113"/>
      <c r="G111" s="113"/>
      <c r="H111" s="113"/>
      <c r="I111" s="113"/>
      <c r="J111" s="113"/>
      <c r="K111" s="113"/>
      <c r="L111" s="113"/>
      <c r="M111" s="113"/>
      <c r="N111" s="113"/>
      <c r="O111" s="113"/>
      <c r="P111" s="113"/>
      <c r="Q111" s="113"/>
      <c r="R111" s="113"/>
      <c r="S111" s="113"/>
      <c r="T111" s="113"/>
      <c r="U111" s="113"/>
    </row>
  </sheetData>
  <sheetProtection algorithmName="SHA-512" hashValue="Q8Sq4NMN+LT7gPpHDFqdcHxjjO48SycZN6mWGgoKdsKk4zXzS9TNF1m+ezWDmRLVdyLo5jUpVtCA4MyqaCuw7A==" saltValue="0fEJ9fWxxkpeGOwKSheHGw==" spinCount="100000" sheet="1" objects="1" scenarios="1" selectLockedCells="1"/>
  <dataConsolidate/>
  <mergeCells count="30">
    <mergeCell ref="B34:C34"/>
    <mergeCell ref="N12:N25"/>
    <mergeCell ref="O12:O25"/>
    <mergeCell ref="B27:D27"/>
    <mergeCell ref="K12:K25"/>
    <mergeCell ref="L12:L25"/>
    <mergeCell ref="M12:M25"/>
    <mergeCell ref="E21:I25"/>
    <mergeCell ref="E18:G18"/>
    <mergeCell ref="E15:G15"/>
    <mergeCell ref="B33:C33"/>
    <mergeCell ref="B28:C28"/>
    <mergeCell ref="B29:C29"/>
    <mergeCell ref="E33:I34"/>
    <mergeCell ref="B31:C31"/>
    <mergeCell ref="B32:C32"/>
    <mergeCell ref="K5:M5"/>
    <mergeCell ref="B5:B6"/>
    <mergeCell ref="C8:I9"/>
    <mergeCell ref="D5:I5"/>
    <mergeCell ref="D6:I6"/>
    <mergeCell ref="B8:B9"/>
    <mergeCell ref="K11:O11"/>
    <mergeCell ref="E11:I11"/>
    <mergeCell ref="B30:C30"/>
    <mergeCell ref="K28:O28"/>
    <mergeCell ref="K29:O29"/>
    <mergeCell ref="E30:I32"/>
    <mergeCell ref="E27:I27"/>
    <mergeCell ref="E28:I29"/>
  </mergeCells>
  <conditionalFormatting sqref="E13:I14">
    <cfRule type="cellIs" dxfId="6" priority="7" operator="equal">
      <formula>"NA"</formula>
    </cfRule>
  </conditionalFormatting>
  <conditionalFormatting sqref="D13:D14">
    <cfRule type="cellIs" dxfId="5" priority="6" operator="equal">
      <formula>"NA"</formula>
    </cfRule>
  </conditionalFormatting>
  <conditionalFormatting sqref="B13:B14">
    <cfRule type="cellIs" dxfId="4" priority="5" operator="equal">
      <formula>"NA"</formula>
    </cfRule>
  </conditionalFormatting>
  <conditionalFormatting sqref="B16:B17">
    <cfRule type="cellIs" dxfId="3" priority="4" operator="equal">
      <formula>"NA"</formula>
    </cfRule>
  </conditionalFormatting>
  <conditionalFormatting sqref="D16:I17">
    <cfRule type="cellIs" dxfId="2" priority="3" operator="equal">
      <formula>"NA"</formula>
    </cfRule>
  </conditionalFormatting>
  <conditionalFormatting sqref="D19:I20">
    <cfRule type="cellIs" dxfId="1" priority="2" operator="equal">
      <formula>"NA"</formula>
    </cfRule>
  </conditionalFormatting>
  <conditionalFormatting sqref="D30:D34">
    <cfRule type="cellIs" dxfId="0" priority="1" operator="equal">
      <formula>"NA"</formula>
    </cfRule>
  </conditionalFormatting>
  <pageMargins left="0.70866141732283472" right="0.70866141732283472" top="0.55118110236220474" bottom="0.19685039370078741" header="0.11811023622047245" footer="0.11811023622047245"/>
  <pageSetup paperSize="9" scale="42" orientation="landscape" horizontalDpi="300" verticalDpi="300" r:id="rId1"/>
  <headerFooter>
    <oddHeader>&amp;LReport from &amp;F&amp;RPrinted on &amp;D</oddHeader>
    <oddFooter>&amp;RPage &amp;P of &amp;N</oddFooter>
  </headerFooter>
  <drawing r:id="rId2"/>
  <legacyDrawing r:id="rId3"/>
  <controls>
    <mc:AlternateContent xmlns:mc="http://schemas.openxmlformats.org/markup-compatibility/2006">
      <mc:Choice Requires="x14">
        <control shapeId="1060" r:id="rId4" name="ComboBox1">
          <controlPr defaultSize="0" autoLine="0" linkedCell="C8" listFillRange="ClassRange" r:id="rId5">
            <anchor moveWithCells="1">
              <from>
                <xdr:col>2</xdr:col>
                <xdr:colOff>76200</xdr:colOff>
                <xdr:row>7</xdr:row>
                <xdr:rowOff>28575</xdr:rowOff>
              </from>
              <to>
                <xdr:col>10</xdr:col>
                <xdr:colOff>28575</xdr:colOff>
                <xdr:row>8</xdr:row>
                <xdr:rowOff>238125</xdr:rowOff>
              </to>
            </anchor>
          </controlPr>
        </control>
      </mc:Choice>
      <mc:Fallback>
        <control shapeId="1060" r:id="rId4" name="ComboBox1"/>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B196"/>
  <sheetViews>
    <sheetView showGridLines="0" showRowColHeaders="0" zoomScaleNormal="100" zoomScaleSheetLayoutView="100" workbookViewId="0">
      <selection activeCell="AA225" sqref="AA225"/>
    </sheetView>
  </sheetViews>
  <sheetFormatPr defaultRowHeight="15" x14ac:dyDescent="0.25"/>
  <cols>
    <col min="1" max="1" width="3.28515625" style="175" customWidth="1"/>
    <col min="2" max="2" width="95.28515625" customWidth="1"/>
  </cols>
  <sheetData>
    <row r="1" spans="1:2" ht="97.5" customHeight="1" x14ac:dyDescent="0.25">
      <c r="A1" s="280"/>
      <c r="B1" s="280"/>
    </row>
    <row r="2" spans="1:2" ht="24.95" customHeight="1" x14ac:dyDescent="0.25">
      <c r="A2" s="278" t="s">
        <v>138</v>
      </c>
      <c r="B2" s="279"/>
    </row>
    <row r="3" spans="1:2" ht="15" customHeight="1" x14ac:dyDescent="0.25"/>
    <row r="4" spans="1:2" ht="18" x14ac:dyDescent="0.25">
      <c r="A4" s="283" t="s">
        <v>103</v>
      </c>
      <c r="B4" s="283"/>
    </row>
    <row r="5" spans="1:2" ht="15" customHeight="1" x14ac:dyDescent="0.25">
      <c r="A5" s="177"/>
      <c r="B5" s="178"/>
    </row>
    <row r="6" spans="1:2" x14ac:dyDescent="0.25">
      <c r="A6" s="285" t="s">
        <v>126</v>
      </c>
      <c r="B6" s="285"/>
    </row>
    <row r="7" spans="1:2" ht="30" customHeight="1" x14ac:dyDescent="0.25">
      <c r="A7" s="177"/>
      <c r="B7" s="223" t="s">
        <v>188</v>
      </c>
    </row>
    <row r="8" spans="1:2" ht="15" customHeight="1" x14ac:dyDescent="0.25">
      <c r="A8" s="179"/>
      <c r="B8" s="179"/>
    </row>
    <row r="9" spans="1:2" x14ac:dyDescent="0.25">
      <c r="A9" s="177"/>
      <c r="B9" s="224" t="s">
        <v>145</v>
      </c>
    </row>
    <row r="10" spans="1:2" ht="15" customHeight="1" x14ac:dyDescent="0.25">
      <c r="A10" s="177"/>
      <c r="B10" s="223" t="s">
        <v>146</v>
      </c>
    </row>
    <row r="11" spans="1:2" x14ac:dyDescent="0.25">
      <c r="A11" s="177"/>
      <c r="B11" s="180"/>
    </row>
    <row r="12" spans="1:2" x14ac:dyDescent="0.25">
      <c r="A12" s="286" t="s">
        <v>127</v>
      </c>
      <c r="B12" s="286"/>
    </row>
    <row r="13" spans="1:2" ht="30" customHeight="1" x14ac:dyDescent="0.25">
      <c r="A13" s="231"/>
      <c r="B13" s="223" t="s">
        <v>177</v>
      </c>
    </row>
    <row r="14" spans="1:2" x14ac:dyDescent="0.25">
      <c r="A14" s="231"/>
      <c r="B14" s="223"/>
    </row>
    <row r="15" spans="1:2" x14ac:dyDescent="0.25">
      <c r="A15" s="286" t="s">
        <v>128</v>
      </c>
      <c r="B15" s="286"/>
    </row>
    <row r="16" spans="1:2" ht="45" customHeight="1" x14ac:dyDescent="0.25">
      <c r="A16" s="231"/>
      <c r="B16" s="223" t="s">
        <v>140</v>
      </c>
    </row>
    <row r="17" spans="1:2" x14ac:dyDescent="0.25">
      <c r="A17" s="231"/>
      <c r="B17" s="223"/>
    </row>
    <row r="18" spans="1:2" x14ac:dyDescent="0.25">
      <c r="A18" s="286" t="s">
        <v>129</v>
      </c>
      <c r="B18" s="286"/>
    </row>
    <row r="19" spans="1:2" ht="45" customHeight="1" x14ac:dyDescent="0.25">
      <c r="A19" s="231"/>
      <c r="B19" s="223" t="s">
        <v>147</v>
      </c>
    </row>
    <row r="20" spans="1:2" x14ac:dyDescent="0.25">
      <c r="A20" s="231"/>
      <c r="B20" s="223"/>
    </row>
    <row r="21" spans="1:2" x14ac:dyDescent="0.25">
      <c r="A21" s="286" t="s">
        <v>130</v>
      </c>
      <c r="B21" s="286"/>
    </row>
    <row r="22" spans="1:2" ht="30" customHeight="1" x14ac:dyDescent="0.25">
      <c r="A22" s="231"/>
      <c r="B22" s="223" t="s">
        <v>132</v>
      </c>
    </row>
    <row r="23" spans="1:2" x14ac:dyDescent="0.25">
      <c r="A23" s="231"/>
      <c r="B23" s="223"/>
    </row>
    <row r="24" spans="1:2" x14ac:dyDescent="0.25">
      <c r="A24" s="287" t="s">
        <v>131</v>
      </c>
      <c r="B24" s="287"/>
    </row>
    <row r="25" spans="1:2" ht="30" customHeight="1" x14ac:dyDescent="0.25">
      <c r="A25" s="231"/>
      <c r="B25" s="223" t="s">
        <v>133</v>
      </c>
    </row>
    <row r="26" spans="1:2" ht="15" customHeight="1" x14ac:dyDescent="0.25">
      <c r="A26" s="231"/>
      <c r="B26" s="223"/>
    </row>
    <row r="27" spans="1:2" ht="42.75" x14ac:dyDescent="0.25">
      <c r="A27" s="231"/>
      <c r="B27" s="223" t="s">
        <v>134</v>
      </c>
    </row>
    <row r="28" spans="1:2" x14ac:dyDescent="0.25">
      <c r="A28" s="231"/>
      <c r="B28" s="223"/>
    </row>
    <row r="29" spans="1:2" ht="42.75" x14ac:dyDescent="0.25">
      <c r="A29" s="231"/>
      <c r="B29" s="223" t="s">
        <v>135</v>
      </c>
    </row>
    <row r="30" spans="1:2" x14ac:dyDescent="0.25">
      <c r="A30" s="231"/>
      <c r="B30" s="223"/>
    </row>
    <row r="31" spans="1:2" x14ac:dyDescent="0.25">
      <c r="A31" s="231"/>
      <c r="B31" s="223"/>
    </row>
    <row r="32" spans="1:2" x14ac:dyDescent="0.25">
      <c r="A32" s="225"/>
      <c r="B32" s="188"/>
    </row>
    <row r="33" spans="1:2" ht="18" x14ac:dyDescent="0.25">
      <c r="A33" s="284" t="s">
        <v>104</v>
      </c>
      <c r="B33" s="284"/>
    </row>
    <row r="34" spans="1:2" ht="30" customHeight="1" x14ac:dyDescent="0.25">
      <c r="A34" s="231"/>
      <c r="B34" s="223" t="s">
        <v>159</v>
      </c>
    </row>
    <row r="35" spans="1:2" ht="15" customHeight="1" x14ac:dyDescent="0.25">
      <c r="A35" s="223"/>
      <c r="B35" s="223"/>
    </row>
    <row r="36" spans="1:2" ht="18" x14ac:dyDescent="0.25">
      <c r="A36" s="284" t="s">
        <v>105</v>
      </c>
      <c r="B36" s="284"/>
    </row>
    <row r="37" spans="1:2" ht="30" customHeight="1" x14ac:dyDescent="0.25">
      <c r="A37" s="231"/>
      <c r="B37" s="223" t="s">
        <v>158</v>
      </c>
    </row>
    <row r="38" spans="1:2" x14ac:dyDescent="0.25">
      <c r="A38" s="231"/>
      <c r="B38" s="223"/>
    </row>
    <row r="39" spans="1:2" ht="18" x14ac:dyDescent="0.25">
      <c r="A39" s="284" t="s">
        <v>106</v>
      </c>
      <c r="B39" s="284"/>
    </row>
    <row r="40" spans="1:2" ht="30" customHeight="1" x14ac:dyDescent="0.25">
      <c r="A40" s="231"/>
      <c r="B40" s="223" t="s">
        <v>107</v>
      </c>
    </row>
    <row r="41" spans="1:2" x14ac:dyDescent="0.25">
      <c r="A41" s="223"/>
      <c r="B41" s="223"/>
    </row>
    <row r="42" spans="1:2" x14ac:dyDescent="0.25">
      <c r="A42" s="231"/>
      <c r="B42" s="232" t="s">
        <v>148</v>
      </c>
    </row>
    <row r="43" spans="1:2" ht="15" customHeight="1" x14ac:dyDescent="0.25">
      <c r="A43" s="231"/>
      <c r="B43" s="232" t="s">
        <v>157</v>
      </c>
    </row>
    <row r="44" spans="1:2" ht="15" customHeight="1" x14ac:dyDescent="0.25">
      <c r="A44" s="231"/>
      <c r="B44" s="232" t="s">
        <v>149</v>
      </c>
    </row>
    <row r="45" spans="1:2" x14ac:dyDescent="0.25">
      <c r="A45" s="231"/>
      <c r="B45" s="232"/>
    </row>
    <row r="46" spans="1:2" ht="30" customHeight="1" x14ac:dyDescent="0.25">
      <c r="A46" s="231"/>
      <c r="B46" s="223" t="s">
        <v>108</v>
      </c>
    </row>
    <row r="47" spans="1:2" x14ac:dyDescent="0.25">
      <c r="A47" s="231"/>
      <c r="B47" s="223"/>
    </row>
    <row r="48" spans="1:2" x14ac:dyDescent="0.25">
      <c r="A48" s="282" t="s">
        <v>109</v>
      </c>
      <c r="B48" s="282"/>
    </row>
    <row r="49" spans="1:2" ht="45" customHeight="1" x14ac:dyDescent="0.25">
      <c r="A49" s="231"/>
      <c r="B49" s="235" t="s">
        <v>150</v>
      </c>
    </row>
    <row r="50" spans="1:2" x14ac:dyDescent="0.25">
      <c r="A50" s="231"/>
      <c r="B50" s="233"/>
    </row>
    <row r="51" spans="1:2" x14ac:dyDescent="0.25">
      <c r="A51" s="231"/>
      <c r="B51" s="234" t="s">
        <v>110</v>
      </c>
    </row>
    <row r="52" spans="1:2" x14ac:dyDescent="0.25">
      <c r="A52" s="177"/>
      <c r="B52" s="181"/>
    </row>
    <row r="53" spans="1:2" x14ac:dyDescent="0.25">
      <c r="A53" s="177"/>
      <c r="B53" s="181"/>
    </row>
    <row r="54" spans="1:2" x14ac:dyDescent="0.25">
      <c r="A54" s="177"/>
      <c r="B54" s="181"/>
    </row>
    <row r="55" spans="1:2" x14ac:dyDescent="0.25">
      <c r="A55" s="177"/>
      <c r="B55" s="181"/>
    </row>
    <row r="57" spans="1:2" x14ac:dyDescent="0.25">
      <c r="A57" s="189"/>
    </row>
    <row r="58" spans="1:2" x14ac:dyDescent="0.25">
      <c r="A58" s="282" t="s">
        <v>111</v>
      </c>
      <c r="B58" s="282"/>
    </row>
    <row r="59" spans="1:2" ht="60" customHeight="1" x14ac:dyDescent="0.25">
      <c r="A59" s="177"/>
      <c r="B59" s="223" t="s">
        <v>152</v>
      </c>
    </row>
    <row r="60" spans="1:2" ht="15" customHeight="1" x14ac:dyDescent="0.25">
      <c r="A60" s="179"/>
      <c r="B60" s="179"/>
    </row>
    <row r="61" spans="1:2" x14ac:dyDescent="0.25">
      <c r="A61" s="177"/>
      <c r="B61" s="237" t="s">
        <v>112</v>
      </c>
    </row>
    <row r="62" spans="1:2" x14ac:dyDescent="0.25">
      <c r="A62" s="177"/>
      <c r="B62" s="179"/>
    </row>
    <row r="63" spans="1:2" x14ac:dyDescent="0.25">
      <c r="A63" s="177"/>
      <c r="B63" s="179"/>
    </row>
    <row r="64" spans="1:2" x14ac:dyDescent="0.25">
      <c r="A64" s="177"/>
      <c r="B64" s="179"/>
    </row>
    <row r="65" spans="1:2" x14ac:dyDescent="0.25">
      <c r="A65" s="177"/>
      <c r="B65" s="179"/>
    </row>
    <row r="66" spans="1:2" x14ac:dyDescent="0.25">
      <c r="A66" s="282" t="s">
        <v>113</v>
      </c>
      <c r="B66" s="282"/>
    </row>
    <row r="67" spans="1:2" ht="75" customHeight="1" x14ac:dyDescent="0.25">
      <c r="A67" s="177"/>
      <c r="B67" s="238" t="s">
        <v>153</v>
      </c>
    </row>
    <row r="68" spans="1:2" x14ac:dyDescent="0.25">
      <c r="A68" s="177"/>
      <c r="B68" s="183"/>
    </row>
    <row r="69" spans="1:2" x14ac:dyDescent="0.25">
      <c r="A69" s="281"/>
      <c r="B69" s="281"/>
    </row>
    <row r="70" spans="1:2" x14ac:dyDescent="0.25">
      <c r="A70" s="177"/>
      <c r="B70" s="179"/>
    </row>
    <row r="71" spans="1:2" ht="30" customHeight="1" x14ac:dyDescent="0.25">
      <c r="A71" s="177"/>
      <c r="B71" s="235" t="s">
        <v>114</v>
      </c>
    </row>
    <row r="72" spans="1:2" x14ac:dyDescent="0.25">
      <c r="A72" s="177"/>
      <c r="B72" s="184"/>
    </row>
    <row r="73" spans="1:2" x14ac:dyDescent="0.25">
      <c r="A73" s="177"/>
      <c r="B73" s="234" t="s">
        <v>115</v>
      </c>
    </row>
    <row r="74" spans="1:2" x14ac:dyDescent="0.25">
      <c r="A74" s="177"/>
      <c r="B74" s="234" t="s">
        <v>116</v>
      </c>
    </row>
    <row r="75" spans="1:2" x14ac:dyDescent="0.25">
      <c r="A75" s="177"/>
      <c r="B75" s="234" t="s">
        <v>117</v>
      </c>
    </row>
    <row r="76" spans="1:2" x14ac:dyDescent="0.25">
      <c r="A76" s="177"/>
      <c r="B76" s="184"/>
    </row>
    <row r="77" spans="1:2" x14ac:dyDescent="0.25">
      <c r="A77" s="177"/>
      <c r="B77" s="184"/>
    </row>
    <row r="78" spans="1:2" x14ac:dyDescent="0.25">
      <c r="A78" s="177"/>
      <c r="B78" s="184"/>
    </row>
    <row r="79" spans="1:2" x14ac:dyDescent="0.25">
      <c r="A79" s="177"/>
      <c r="B79" s="184"/>
    </row>
    <row r="80" spans="1:2" x14ac:dyDescent="0.25">
      <c r="A80" s="177"/>
      <c r="B80" s="184"/>
    </row>
    <row r="81" spans="1:2" x14ac:dyDescent="0.25">
      <c r="A81" s="177"/>
      <c r="B81" s="181"/>
    </row>
    <row r="85" spans="1:2" x14ac:dyDescent="0.25">
      <c r="A85" s="177"/>
      <c r="B85" s="182"/>
    </row>
    <row r="86" spans="1:2" ht="45" customHeight="1" x14ac:dyDescent="0.25">
      <c r="A86" s="177"/>
      <c r="B86" s="223" t="s">
        <v>155</v>
      </c>
    </row>
    <row r="87" spans="1:2" ht="15" customHeight="1" x14ac:dyDescent="0.25">
      <c r="A87" s="179"/>
      <c r="B87" s="179"/>
    </row>
    <row r="88" spans="1:2" ht="60" customHeight="1" x14ac:dyDescent="0.25">
      <c r="A88" s="177"/>
      <c r="B88" s="223" t="s">
        <v>139</v>
      </c>
    </row>
    <row r="89" spans="1:2" x14ac:dyDescent="0.25">
      <c r="A89" s="177"/>
      <c r="B89" s="185"/>
    </row>
    <row r="90" spans="1:2" x14ac:dyDescent="0.25">
      <c r="A90" s="282" t="s">
        <v>118</v>
      </c>
      <c r="B90" s="282"/>
    </row>
    <row r="91" spans="1:2" ht="45" customHeight="1" x14ac:dyDescent="0.25">
      <c r="A91" s="177"/>
      <c r="B91" s="223" t="s">
        <v>156</v>
      </c>
    </row>
    <row r="92" spans="1:2" x14ac:dyDescent="0.25">
      <c r="A92" s="177"/>
      <c r="B92" s="185"/>
    </row>
    <row r="93" spans="1:2" x14ac:dyDescent="0.25">
      <c r="A93" s="177"/>
      <c r="B93" s="234" t="s">
        <v>119</v>
      </c>
    </row>
    <row r="94" spans="1:2" x14ac:dyDescent="0.25">
      <c r="A94" s="177"/>
      <c r="B94" s="234" t="s">
        <v>120</v>
      </c>
    </row>
    <row r="95" spans="1:2" x14ac:dyDescent="0.25">
      <c r="A95" s="177"/>
      <c r="B95" s="234"/>
    </row>
    <row r="96" spans="1:2" x14ac:dyDescent="0.25">
      <c r="A96" s="177"/>
      <c r="B96" s="185"/>
    </row>
    <row r="97" spans="1:2" x14ac:dyDescent="0.25">
      <c r="A97" s="177"/>
      <c r="B97" s="185"/>
    </row>
    <row r="98" spans="1:2" x14ac:dyDescent="0.25">
      <c r="A98" s="177"/>
      <c r="B98" s="185"/>
    </row>
    <row r="99" spans="1:2" x14ac:dyDescent="0.25">
      <c r="A99" s="177"/>
      <c r="B99" s="185"/>
    </row>
    <row r="100" spans="1:2" x14ac:dyDescent="0.25">
      <c r="A100" s="177"/>
      <c r="B100" s="185"/>
    </row>
    <row r="101" spans="1:2" x14ac:dyDescent="0.25">
      <c r="A101" s="177"/>
      <c r="B101" s="181"/>
    </row>
    <row r="104" spans="1:2" x14ac:dyDescent="0.25">
      <c r="A104" s="177"/>
      <c r="B104" s="182"/>
    </row>
    <row r="105" spans="1:2" ht="45" customHeight="1" x14ac:dyDescent="0.25">
      <c r="A105" s="177"/>
      <c r="B105" s="223" t="s">
        <v>121</v>
      </c>
    </row>
    <row r="106" spans="1:2" ht="15" customHeight="1" x14ac:dyDescent="0.25">
      <c r="A106" s="177"/>
      <c r="B106" s="223"/>
    </row>
    <row r="107" spans="1:2" ht="15" customHeight="1" x14ac:dyDescent="0.25">
      <c r="A107" s="177"/>
      <c r="B107" s="223"/>
    </row>
    <row r="108" spans="1:2" x14ac:dyDescent="0.25">
      <c r="A108" s="177"/>
      <c r="B108" s="182"/>
    </row>
    <row r="109" spans="1:2" x14ac:dyDescent="0.25">
      <c r="A109" s="186"/>
      <c r="B109" s="187"/>
    </row>
    <row r="110" spans="1:2" x14ac:dyDescent="0.25">
      <c r="A110" s="177"/>
      <c r="B110" s="181"/>
    </row>
    <row r="111" spans="1:2" x14ac:dyDescent="0.25">
      <c r="A111" s="282" t="s">
        <v>122</v>
      </c>
      <c r="B111" s="282"/>
    </row>
    <row r="112" spans="1:2" ht="45" customHeight="1" x14ac:dyDescent="0.25">
      <c r="A112" s="177"/>
      <c r="B112" s="223" t="s">
        <v>176</v>
      </c>
    </row>
    <row r="113" spans="1:2" x14ac:dyDescent="0.25">
      <c r="A113" s="177"/>
      <c r="B113" s="181"/>
    </row>
    <row r="114" spans="1:2" x14ac:dyDescent="0.25">
      <c r="A114" s="177"/>
      <c r="B114" s="237" t="s">
        <v>123</v>
      </c>
    </row>
    <row r="115" spans="1:2" x14ac:dyDescent="0.25">
      <c r="A115" s="177"/>
      <c r="B115" s="181"/>
    </row>
    <row r="116" spans="1:2" x14ac:dyDescent="0.25">
      <c r="A116" s="177"/>
      <c r="B116" s="181"/>
    </row>
    <row r="117" spans="1:2" x14ac:dyDescent="0.25">
      <c r="A117" s="177"/>
      <c r="B117" s="181"/>
    </row>
    <row r="118" spans="1:2" x14ac:dyDescent="0.25">
      <c r="A118" s="177"/>
      <c r="B118" s="181"/>
    </row>
    <row r="119" spans="1:2" x14ac:dyDescent="0.25">
      <c r="A119" s="177"/>
      <c r="B119" s="181"/>
    </row>
    <row r="121" spans="1:2" x14ac:dyDescent="0.25">
      <c r="A121" s="177"/>
      <c r="B121" s="183"/>
    </row>
    <row r="122" spans="1:2" x14ac:dyDescent="0.25">
      <c r="A122" s="177"/>
      <c r="B122" s="183"/>
    </row>
    <row r="123" spans="1:2" x14ac:dyDescent="0.25">
      <c r="A123" s="282" t="s">
        <v>124</v>
      </c>
      <c r="B123" s="282"/>
    </row>
    <row r="124" spans="1:2" ht="60" customHeight="1" x14ac:dyDescent="0.25">
      <c r="A124" s="177"/>
      <c r="B124" s="235" t="s">
        <v>160</v>
      </c>
    </row>
    <row r="125" spans="1:2" ht="15" customHeight="1" x14ac:dyDescent="0.25">
      <c r="A125" s="177"/>
      <c r="B125" s="184"/>
    </row>
    <row r="126" spans="1:2" ht="30" customHeight="1" x14ac:dyDescent="0.25">
      <c r="A126" s="177"/>
      <c r="B126" s="235" t="s">
        <v>136</v>
      </c>
    </row>
    <row r="127" spans="1:2" x14ac:dyDescent="0.25">
      <c r="A127" s="177"/>
      <c r="B127" s="181"/>
    </row>
    <row r="128" spans="1:2" x14ac:dyDescent="0.25">
      <c r="A128" s="177"/>
      <c r="B128" s="237" t="s">
        <v>125</v>
      </c>
    </row>
    <row r="129" spans="1:2" x14ac:dyDescent="0.25">
      <c r="A129" s="177"/>
      <c r="B129" s="237" t="s">
        <v>184</v>
      </c>
    </row>
    <row r="130" spans="1:2" x14ac:dyDescent="0.25">
      <c r="A130" s="177"/>
      <c r="B130" s="181"/>
    </row>
    <row r="131" spans="1:2" x14ac:dyDescent="0.25">
      <c r="A131" s="177"/>
      <c r="B131" s="181"/>
    </row>
    <row r="132" spans="1:2" x14ac:dyDescent="0.25">
      <c r="A132" s="177"/>
      <c r="B132" s="181"/>
    </row>
    <row r="133" spans="1:2" x14ac:dyDescent="0.25">
      <c r="A133" s="177"/>
      <c r="B133" s="181"/>
    </row>
    <row r="134" spans="1:2" x14ac:dyDescent="0.25">
      <c r="A134" s="177"/>
      <c r="B134" s="181"/>
    </row>
    <row r="135" spans="1:2" x14ac:dyDescent="0.25">
      <c r="A135" s="177"/>
      <c r="B135" s="181"/>
    </row>
    <row r="136" spans="1:2" x14ac:dyDescent="0.25">
      <c r="A136" s="177"/>
      <c r="B136" s="181"/>
    </row>
    <row r="137" spans="1:2" x14ac:dyDescent="0.25">
      <c r="A137" s="177"/>
      <c r="B137" s="181"/>
    </row>
    <row r="138" spans="1:2" x14ac:dyDescent="0.25">
      <c r="A138" s="177"/>
      <c r="B138" s="181"/>
    </row>
    <row r="140" spans="1:2" x14ac:dyDescent="0.25">
      <c r="A140" s="241"/>
    </row>
    <row r="142" spans="1:2" ht="110.1" customHeight="1" x14ac:dyDescent="0.25">
      <c r="A142" s="177"/>
      <c r="B142" s="223" t="s">
        <v>154</v>
      </c>
    </row>
    <row r="143" spans="1:2" ht="15" customHeight="1" x14ac:dyDescent="0.25">
      <c r="A143" s="177"/>
      <c r="B143" s="223"/>
    </row>
    <row r="144" spans="1:2" ht="15" customHeight="1" x14ac:dyDescent="0.25">
      <c r="A144" s="177"/>
      <c r="B144" s="223"/>
    </row>
    <row r="145" spans="1:2" ht="15" customHeight="1" x14ac:dyDescent="0.25">
      <c r="A145" s="177"/>
      <c r="B145" s="223"/>
    </row>
    <row r="146" spans="1:2" ht="15" customHeight="1" x14ac:dyDescent="0.25">
      <c r="A146" s="177"/>
      <c r="B146" s="223"/>
    </row>
    <row r="147" spans="1:2" ht="15" customHeight="1" x14ac:dyDescent="0.25">
      <c r="A147" s="186"/>
      <c r="B147" s="188"/>
    </row>
    <row r="148" spans="1:2" x14ac:dyDescent="0.25">
      <c r="A148" s="177"/>
      <c r="B148" s="179"/>
    </row>
    <row r="149" spans="1:2" ht="60" customHeight="1" x14ac:dyDescent="0.25">
      <c r="A149" s="177"/>
      <c r="B149" s="223" t="s">
        <v>185</v>
      </c>
    </row>
    <row r="150" spans="1:2" ht="15" customHeight="1" x14ac:dyDescent="0.25">
      <c r="A150" s="179"/>
      <c r="B150" s="179"/>
    </row>
    <row r="151" spans="1:2" ht="60" customHeight="1" x14ac:dyDescent="0.25">
      <c r="A151" s="177"/>
      <c r="B151" s="235" t="s">
        <v>137</v>
      </c>
    </row>
    <row r="153" spans="1:2" x14ac:dyDescent="0.25">
      <c r="A153" s="288" t="s">
        <v>151</v>
      </c>
      <c r="B153" s="288"/>
    </row>
    <row r="154" spans="1:2" x14ac:dyDescent="0.25">
      <c r="A154" s="245"/>
      <c r="B154" s="245"/>
    </row>
    <row r="155" spans="1:2" x14ac:dyDescent="0.25">
      <c r="A155" s="245"/>
      <c r="B155" s="248" t="s">
        <v>193</v>
      </c>
    </row>
    <row r="156" spans="1:2" ht="29.25" x14ac:dyDescent="0.25">
      <c r="A156" s="245"/>
      <c r="B156" s="244" t="s">
        <v>200</v>
      </c>
    </row>
    <row r="157" spans="1:2" x14ac:dyDescent="0.25">
      <c r="A157" s="245"/>
      <c r="B157" s="244" t="s">
        <v>194</v>
      </c>
    </row>
    <row r="158" spans="1:2" x14ac:dyDescent="0.25">
      <c r="A158" s="245"/>
      <c r="B158" s="244" t="s">
        <v>197</v>
      </c>
    </row>
    <row r="159" spans="1:2" x14ac:dyDescent="0.25">
      <c r="A159" s="245"/>
      <c r="B159" s="244" t="s">
        <v>195</v>
      </c>
    </row>
    <row r="160" spans="1:2" x14ac:dyDescent="0.25">
      <c r="A160" s="245"/>
      <c r="B160" s="244" t="s">
        <v>196</v>
      </c>
    </row>
    <row r="161" spans="1:2" x14ac:dyDescent="0.25">
      <c r="A161" s="245"/>
      <c r="B161" s="244" t="s">
        <v>199</v>
      </c>
    </row>
    <row r="162" spans="1:2" x14ac:dyDescent="0.25">
      <c r="A162" s="245"/>
      <c r="B162" s="244" t="s">
        <v>198</v>
      </c>
    </row>
    <row r="163" spans="1:2" x14ac:dyDescent="0.25">
      <c r="A163" s="245"/>
      <c r="B163" s="245"/>
    </row>
    <row r="164" spans="1:2" x14ac:dyDescent="0.25">
      <c r="A164" s="242"/>
      <c r="B164" s="243" t="s">
        <v>189</v>
      </c>
    </row>
    <row r="165" spans="1:2" ht="29.25" x14ac:dyDescent="0.25">
      <c r="A165" s="242"/>
      <c r="B165" s="244" t="s">
        <v>190</v>
      </c>
    </row>
    <row r="166" spans="1:2" x14ac:dyDescent="0.25">
      <c r="A166" s="242"/>
    </row>
    <row r="167" spans="1:2" x14ac:dyDescent="0.25">
      <c r="A167" s="242"/>
      <c r="B167" s="233" t="s">
        <v>186</v>
      </c>
    </row>
    <row r="168" spans="1:2" ht="72" x14ac:dyDescent="0.25">
      <c r="B168" s="235" t="s">
        <v>161</v>
      </c>
    </row>
    <row r="195" spans="1:2" x14ac:dyDescent="0.25">
      <c r="A195" s="246"/>
      <c r="B195" s="2"/>
    </row>
    <row r="196" spans="1:2" x14ac:dyDescent="0.25">
      <c r="A196" s="246"/>
      <c r="B196" s="247"/>
    </row>
  </sheetData>
  <sheetProtection algorithmName="SHA-512" hashValue="EgFaNGKwntACRdKfwG0FLa5O3R3jMsT6eLm4C39WOwwNlTFggHlHLJhQBPArEVfI/omn+FSR+VMSHi/G7XV2ig==" saltValue="UoaS3DbtCoSQdiZPP3eprA==" spinCount="100000" sheet="1" objects="1" scenarios="1" selectLockedCells="1" selectUnlockedCells="1"/>
  <mergeCells count="20">
    <mergeCell ref="A153:B153"/>
    <mergeCell ref="A111:B111"/>
    <mergeCell ref="A123:B123"/>
    <mergeCell ref="A90:B90"/>
    <mergeCell ref="A58:B58"/>
    <mergeCell ref="A66:B66"/>
    <mergeCell ref="A2:B2"/>
    <mergeCell ref="A1:B1"/>
    <mergeCell ref="A69:B69"/>
    <mergeCell ref="A48:B48"/>
    <mergeCell ref="A4:B4"/>
    <mergeCell ref="A33:B33"/>
    <mergeCell ref="A36:B36"/>
    <mergeCell ref="A39:B39"/>
    <mergeCell ref="A6:B6"/>
    <mergeCell ref="A12:B12"/>
    <mergeCell ref="A15:B15"/>
    <mergeCell ref="A18:B18"/>
    <mergeCell ref="A21:B21"/>
    <mergeCell ref="A24:B24"/>
  </mergeCells>
  <pageMargins left="0.23622047244094491" right="0.23622047244094491" top="0.74803149606299213" bottom="0.74803149606299213" header="0.31496062992125984" footer="0.31496062992125984"/>
  <pageSetup paperSize="9" orientation="portrait" horizontalDpi="300" verticalDpi="300" r:id="rId1"/>
  <headerFooter>
    <oddHeader>&amp;LNCC Volume One sanitary facilities calculator | Help&amp;RPrinted on &amp;D</oddHeader>
    <oddFooter>&amp;L&amp;F&amp;RPage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5"/>
  <sheetViews>
    <sheetView topLeftCell="A10" workbookViewId="0">
      <selection activeCell="A17" sqref="A17"/>
    </sheetView>
  </sheetViews>
  <sheetFormatPr defaultColWidth="9.140625" defaultRowHeight="15" x14ac:dyDescent="0.25"/>
  <cols>
    <col min="1" max="3" width="9.140625" style="82"/>
    <col min="4" max="4" width="9.28515625" style="82" customWidth="1"/>
    <col min="5" max="13" width="9.140625" style="82"/>
    <col min="14" max="14" width="9.28515625" style="82" customWidth="1"/>
    <col min="15" max="16384" width="9.140625" style="82"/>
  </cols>
  <sheetData>
    <row r="1" spans="1:1" s="78" customFormat="1" x14ac:dyDescent="0.25">
      <c r="A1" s="79" t="s">
        <v>64</v>
      </c>
    </row>
    <row r="2" spans="1:1" s="78" customFormat="1" x14ac:dyDescent="0.25">
      <c r="A2" s="80" t="s">
        <v>67</v>
      </c>
    </row>
    <row r="3" spans="1:1" s="78" customFormat="1" x14ac:dyDescent="0.25">
      <c r="A3" s="80" t="s">
        <v>65</v>
      </c>
    </row>
    <row r="4" spans="1:1" s="78" customFormat="1" x14ac:dyDescent="0.25">
      <c r="A4" s="80" t="s">
        <v>68</v>
      </c>
    </row>
    <row r="5" spans="1:1" s="78" customFormat="1" x14ac:dyDescent="0.25">
      <c r="A5" s="81" t="s">
        <v>66</v>
      </c>
    </row>
  </sheetData>
  <sheetProtection algorithmName="SHA-512" hashValue="cQrmtA9UMq7h+vua8LQeK4BMWG2CFUlKjPbfkQJkrqHl2Js7lB10BMFArVVN/GNv33qpYhjTdFUEUavA1h1SWQ==" saltValue="C0aOfHOhHF1jvo4aNa0RXA==" spinCount="100000" sheet="1" objects="1" scenarios="1" formatCells="0" formatColumns="0" formatRows="0" insertColumns="0" insertRows="0" insertHyperlinks="0" deleteColumns="0" deleteRows="0" selectLockedCells="1" sort="0" autoFilter="0" pivotTables="0"/>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2:BQ222"/>
  <sheetViews>
    <sheetView showGridLines="0" zoomScaleNormal="100" workbookViewId="0">
      <selection activeCell="G11" sqref="G11"/>
    </sheetView>
  </sheetViews>
  <sheetFormatPr defaultRowHeight="15" x14ac:dyDescent="0.25"/>
  <cols>
    <col min="1" max="1" width="52.85546875" customWidth="1"/>
    <col min="2" max="3" width="20.7109375" customWidth="1"/>
    <col min="4" max="4" width="22.7109375" style="61" customWidth="1"/>
    <col min="5" max="5" width="20.7109375" style="61" customWidth="1"/>
    <col min="6" max="8" width="20.7109375" customWidth="1"/>
    <col min="9" max="9" width="32.7109375" customWidth="1"/>
    <col min="13" max="13" width="10.85546875" customWidth="1"/>
    <col min="14" max="14" width="11" customWidth="1"/>
    <col min="27" max="27" width="18.28515625" customWidth="1"/>
  </cols>
  <sheetData>
    <row r="2" spans="1:18" ht="27" thickBot="1" x14ac:dyDescent="0.3">
      <c r="E2" s="56"/>
      <c r="F2" s="6"/>
      <c r="G2" s="6"/>
      <c r="H2" s="57"/>
      <c r="I2" s="57"/>
      <c r="J2" s="57"/>
      <c r="K2" s="57"/>
      <c r="L2" s="57"/>
      <c r="M2" s="57"/>
    </row>
    <row r="3" spans="1:18" x14ac:dyDescent="0.25">
      <c r="E3" s="56"/>
      <c r="F3" s="297" t="s">
        <v>61</v>
      </c>
      <c r="G3" s="289" t="str">
        <f>'Sanitary Facilities Calculator'!$C$8</f>
        <v>Class 9b - sports venues or the like</v>
      </c>
      <c r="H3" s="290"/>
      <c r="I3" s="290"/>
      <c r="J3" s="290"/>
      <c r="K3" s="290"/>
      <c r="L3" s="291"/>
      <c r="M3" s="6"/>
    </row>
    <row r="4" spans="1:18" ht="16.5" customHeight="1" thickBot="1" x14ac:dyDescent="0.3">
      <c r="E4" s="56"/>
      <c r="F4" s="298"/>
      <c r="G4" s="292"/>
      <c r="H4" s="293"/>
      <c r="I4" s="293"/>
      <c r="J4" s="293"/>
      <c r="K4" s="293"/>
      <c r="L4" s="294"/>
      <c r="M4" s="58"/>
      <c r="N4" s="6"/>
      <c r="O4" s="6"/>
      <c r="P4" s="6"/>
      <c r="Q4" s="6"/>
      <c r="R4" s="6"/>
    </row>
    <row r="5" spans="1:18" ht="16.5" customHeight="1" thickBot="1" x14ac:dyDescent="0.3">
      <c r="E5" s="56"/>
      <c r="F5" s="3"/>
      <c r="G5" s="1"/>
      <c r="H5" s="1"/>
      <c r="I5" s="1"/>
      <c r="J5" s="1"/>
      <c r="K5" s="1"/>
      <c r="L5" s="58"/>
      <c r="M5" s="58"/>
      <c r="N5" s="6"/>
      <c r="O5" s="6"/>
      <c r="P5" s="6"/>
      <c r="Q5" s="6"/>
      <c r="R5" s="6"/>
    </row>
    <row r="6" spans="1:18" ht="15.75" thickBot="1" x14ac:dyDescent="0.3">
      <c r="E6" s="56"/>
      <c r="F6" s="3"/>
      <c r="G6" s="1"/>
      <c r="J6" s="303" t="s">
        <v>22</v>
      </c>
      <c r="K6" s="304"/>
      <c r="L6" s="304"/>
      <c r="M6" s="304"/>
      <c r="N6" s="305"/>
      <c r="O6" s="99"/>
      <c r="P6" s="3"/>
      <c r="Q6" s="3"/>
      <c r="R6" s="3"/>
    </row>
    <row r="7" spans="1:18" ht="30.75" thickBot="1" x14ac:dyDescent="0.3">
      <c r="E7" s="56"/>
      <c r="F7" s="2"/>
      <c r="G7" s="60" t="s">
        <v>39</v>
      </c>
      <c r="H7" s="299" t="s">
        <v>59</v>
      </c>
      <c r="I7" s="300"/>
      <c r="J7" s="107" t="s">
        <v>23</v>
      </c>
      <c r="K7" s="108" t="s">
        <v>24</v>
      </c>
      <c r="L7" s="107" t="s">
        <v>60</v>
      </c>
      <c r="M7" s="104" t="s">
        <v>69</v>
      </c>
      <c r="N7" s="105" t="s">
        <v>70</v>
      </c>
      <c r="O7" s="6"/>
      <c r="P7" s="54"/>
      <c r="Q7" s="54"/>
      <c r="R7" s="54"/>
    </row>
    <row r="8" spans="1:18" ht="15.75" thickBot="1" x14ac:dyDescent="0.3">
      <c r="E8" s="56"/>
      <c r="F8" s="5" t="s">
        <v>41</v>
      </c>
      <c r="G8" s="7">
        <f>'Sanitary Facilities Calculator'!C13</f>
        <v>0</v>
      </c>
      <c r="H8" s="295" t="str">
        <f>'Sanitary Facilities Calculator'!$D$13</f>
        <v>employees</v>
      </c>
      <c r="I8" s="301"/>
      <c r="J8" s="73">
        <f t="array" ref="J8">IF(H8="NA","NA",INDEX($E$26:$E$179,MATCH($G$3&amp;$F$8&amp;$H$8&amp;$J$7,$A$26:$A$179&amp;$B$26:$B$179&amp;$C$26:$C$179&amp;$D$26:$D$179,0)))</f>
        <v>0</v>
      </c>
      <c r="K8" s="73">
        <f t="array" ref="K8">IF(H8="NA","NA",INDEX($E$26:$E$175,MATCH($G$3&amp;$F$8&amp;$H$8&amp;$K$7,$A$26:$A$175&amp;$B$26:$B$175&amp;$C$26:$C$175&amp;$D$26:$D$175,0)))</f>
        <v>0</v>
      </c>
      <c r="L8" s="73">
        <f t="array" ref="L8">IF(H8="NA","NA",INDEX($E$26:$E$179,MATCH($G$3&amp;$F$8&amp;$H$8&amp;$L$7,$A$26:$A$179&amp;$B$26:$B$179&amp;$C$26:$C$179&amp;$D$26:$D$179,0)))</f>
        <v>0</v>
      </c>
      <c r="M8" s="73" t="str">
        <f t="array" ref="M8">IF(H8="NA","NA",IF(H8="employees","NA",INDEX($E$26:$E$179,MATCH($G$3&amp;$F$8&amp;$H$8&amp;$M$7,$A$26:$A$179&amp;$B$26:$B$179&amp;$C$26:$C$179&amp;$D$26:$D$179,0))))</f>
        <v>NA</v>
      </c>
      <c r="N8" s="73" t="str">
        <f t="array" ref="N8">IF(H8="NA","NA",IF(H8="employees","NA",INDEX($E$26:$E$179,MATCH($G$3&amp;$F$8&amp;$H$8&amp;$N$7,$A$26:$A$179&amp;$B$26:$B$179&amp;$C$26:$C$179&amp;$D$26:$D$179,0))))</f>
        <v>NA</v>
      </c>
      <c r="O8" s="6"/>
      <c r="P8" s="56"/>
      <c r="Q8" s="109"/>
      <c r="R8" s="56"/>
    </row>
    <row r="9" spans="1:18" ht="15.75" thickBot="1" x14ac:dyDescent="0.3">
      <c r="A9" s="15" t="s">
        <v>3</v>
      </c>
      <c r="B9" s="16" t="s">
        <v>43</v>
      </c>
      <c r="C9" s="16" t="s">
        <v>44</v>
      </c>
      <c r="D9" s="64" t="s">
        <v>45</v>
      </c>
      <c r="E9" s="56"/>
      <c r="F9" s="5" t="s">
        <v>42</v>
      </c>
      <c r="G9" s="7">
        <f>'Sanitary Facilities Calculator'!C14</f>
        <v>0</v>
      </c>
      <c r="H9" s="295" t="str">
        <f>'Sanitary Facilities Calculator'!$D$14</f>
        <v>employees</v>
      </c>
      <c r="I9" s="301"/>
      <c r="J9" s="73">
        <f t="array" ref="J9">IF(H9="NA","NA",INDEX($E$26:$E$179,MATCH($G$3&amp;$F$9&amp;$H$9&amp;$J$7,$A$26:$A$179&amp;$B$26:$B$179&amp;$C$26:$C$179&amp;$D$26:$D$179,0)))</f>
        <v>0</v>
      </c>
      <c r="K9" s="73" t="s">
        <v>40</v>
      </c>
      <c r="L9" s="73">
        <f t="array" ref="L9">INDEX($E$26:$E$179,MATCH($G$3&amp;$F$9&amp;$H$9&amp;$L$7,$A$26:$A$179&amp;$B$26:$B$179&amp;$C$26:$C$179&amp;$D$26:$D$179,0))</f>
        <v>0</v>
      </c>
      <c r="M9" s="73" t="str">
        <f t="array" ref="M9">IF(H9="NA","NA",IF(H9="employees","NA",INDEX($E$26:$E$179,MATCH($G$3&amp;$F$8&amp;$H$8&amp;$M$7,$A$26:$A$179&amp;$B$26:$B$179&amp;$C$26:$C$179&amp;$D$26:$D$179,0))))</f>
        <v>NA</v>
      </c>
      <c r="N9" s="73" t="str">
        <f t="array" ref="N9">IF(H9="NA","NA",IF(H9="employees","NA",INDEX($E$26:$E$179,MATCH($G$3&amp;$F$8&amp;$H$9&amp;$N$7,$A$26:$A$179&amp;$B$26:$B$179&amp;$C$26:$C$179&amp;$D$26:$D$179,0))))</f>
        <v>NA</v>
      </c>
      <c r="O9" s="6"/>
      <c r="P9" s="56"/>
      <c r="Q9" s="56"/>
      <c r="R9" s="56"/>
    </row>
    <row r="10" spans="1:18" ht="15.75" thickBot="1" x14ac:dyDescent="0.3">
      <c r="A10" s="6" t="s">
        <v>80</v>
      </c>
      <c r="B10" t="s">
        <v>15</v>
      </c>
      <c r="C10" t="s">
        <v>71</v>
      </c>
      <c r="D10" s="10" t="s">
        <v>40</v>
      </c>
      <c r="E10" s="56"/>
      <c r="F10" s="4"/>
      <c r="G10" s="59"/>
      <c r="H10" s="302"/>
      <c r="I10" s="302"/>
      <c r="J10" s="74"/>
      <c r="K10" s="74"/>
      <c r="L10" s="75"/>
      <c r="M10" s="86"/>
      <c r="N10" s="86"/>
      <c r="O10" s="6"/>
      <c r="P10" s="3"/>
      <c r="Q10" s="3"/>
      <c r="R10" s="3"/>
    </row>
    <row r="11" spans="1:18" ht="16.5" customHeight="1" thickBot="1" x14ac:dyDescent="0.3">
      <c r="A11" t="s">
        <v>72</v>
      </c>
      <c r="B11" t="s">
        <v>15</v>
      </c>
      <c r="C11" t="s">
        <v>71</v>
      </c>
      <c r="D11" s="10" t="s">
        <v>40</v>
      </c>
      <c r="E11" s="56"/>
      <c r="F11" s="5" t="str">
        <f>IF(H11="children","",IF(H11="NA","",IF(H11="residents","","Male")))</f>
        <v>Male</v>
      </c>
      <c r="G11" s="7">
        <f>'Sanitary Facilities Calculator'!C16</f>
        <v>0</v>
      </c>
      <c r="H11" s="295" t="str">
        <f>'Sanitary Facilities Calculator'!$D$16</f>
        <v>spectators or patrons</v>
      </c>
      <c r="I11" s="296"/>
      <c r="J11" s="73">
        <f t="array" ref="J11">IF(H11="NA","NA",INDEX($E$26:$E$179,MATCH($G$3&amp;$F$11&amp;$H$11&amp;$J$7,$A$26:$A$179&amp;$B$26:$B$179&amp;$C$26:$C$179&amp;$D$26:$D$179,0)))</f>
        <v>0</v>
      </c>
      <c r="K11" s="73">
        <f t="array" ref="K11">IF(H11="NA","NA",IF(H11="patients","NA",IF(H11="children","NA",IF(H11="residents","NA",INDEX($E$26:$E$161,MATCH($G$3&amp;$F$11&amp;$H$11&amp;$K$7,$A$26:$A$161&amp;$B$26:$B$161&amp;$C$26:$C$161&amp;$D$26:$D$161,0))))))</f>
        <v>0</v>
      </c>
      <c r="L11" s="73">
        <f t="array" ref="L11">IF(H11="NA","NA",INDEX($E$26:$E$179,MATCH($G$3&amp;$F$11&amp;$H$11&amp;$L$7,$A$26:$A$179&amp;$B$26:$B$179&amp;$C$26:$C$179&amp;$D$26:$D$179,0)))</f>
        <v>0</v>
      </c>
      <c r="M11" s="73" t="str">
        <f t="array" ref="M11">IF(OR(H11="NA",H11="patrons",H11="students",H11="spectators or patrons"),"NA",(INDEX($E$26:$E$179,MATCH($G$3&amp;$F$11&amp;$H$11&amp;$M$7,$A$26:$A$179&amp;$B$26:$B$179&amp;$C$26:$C$179&amp;$D$26:$D$179,0))))</f>
        <v>NA</v>
      </c>
      <c r="N11" s="73" t="str">
        <f t="array" ref="N11">IF(OR(H11="NA",H11="patrons",H11="students",H11="spectators or patrons"),"NA",(INDEX($E$26:$E$179,MATCH($G$3&amp;$F$11&amp;$H$11&amp;$N$7,$A$26:$A$179&amp;$B$26:$B$179&amp;$C$26:$C$179&amp;$D$26:$D$179,0))))</f>
        <v>NA</v>
      </c>
      <c r="O11" s="6"/>
      <c r="P11" s="56"/>
      <c r="Q11" s="56"/>
      <c r="R11" s="56"/>
    </row>
    <row r="12" spans="1:18" ht="16.5" customHeight="1" thickBot="1" x14ac:dyDescent="0.3">
      <c r="A12" s="17" t="s">
        <v>162</v>
      </c>
      <c r="B12" s="26" t="s">
        <v>15</v>
      </c>
      <c r="C12" s="26" t="s">
        <v>40</v>
      </c>
      <c r="D12" s="65" t="s">
        <v>40</v>
      </c>
      <c r="E12" s="56"/>
      <c r="F12" s="5" t="str">
        <f>IF(H12="children","",IF(H12="NA","",IF(H12="residents","","Female")))</f>
        <v>Female</v>
      </c>
      <c r="G12" s="7">
        <f>'Sanitary Facilities Calculator'!C17</f>
        <v>0</v>
      </c>
      <c r="H12" s="295" t="str">
        <f>'Sanitary Facilities Calculator'!$D$17</f>
        <v>spectators or patrons</v>
      </c>
      <c r="I12" s="296"/>
      <c r="J12" s="73">
        <f t="array" ref="J12">IF(H12="NA","NA",IF(H12="children","NA",IF(H12="residents","NA",INDEX($E$26:$E$161,MATCH($G$3&amp;$F$12&amp;$H$12&amp;$J$7,$A$26:$A$161&amp;$B$26:$B$161&amp;$C$26:$C$161&amp;$D$26:$D$161,0)))))</f>
        <v>0</v>
      </c>
      <c r="K12" s="73" t="s">
        <v>40</v>
      </c>
      <c r="L12" s="73">
        <f t="array" ref="L12">IF(H12="NA","NA",IF(H12="children","NA",IF(H12="residents","NA",INDEX($E$26:$E$161,MATCH($G$3&amp;$F$12&amp;$H$12&amp;$L$7,$A$26:$A$161&amp;$B$26:$B$161&amp;$C$26:$C$161&amp;$D$26:$D$161,0)))))</f>
        <v>0</v>
      </c>
      <c r="M12" s="73" t="str">
        <f t="array" ref="M12">IF(OR(H12="NA",H12="patrons",H12="residents",H12="students",H12="children",H12="spectators or patrons"),"NA",(INDEX($E$26:$E$179,MATCH($G$3&amp;$F$11&amp;$H$11&amp;$M$7,$A$26:$A$179&amp;$B$26:$B$179&amp;$C$26:$C$179&amp;$D$26:$D$179,0))))</f>
        <v>NA</v>
      </c>
      <c r="N12" s="73" t="str">
        <f t="array" ref="N12">IF(OR(H12="NA",H12="patrons",H12="residents",H12="students",H12="children",H12="spectators or patrons"),"NA",(INDEX($E$26:$E$179,MATCH($G$3&amp;$F$11&amp;$H$11&amp;$N$7,$A$26:$A$179&amp;$B$26:$B$179&amp;$C$26:$C$179&amp;$D$26:$D$179,0))))</f>
        <v>NA</v>
      </c>
      <c r="O12" s="6"/>
      <c r="P12" s="56"/>
      <c r="Q12" s="56"/>
      <c r="R12" s="56"/>
    </row>
    <row r="13" spans="1:18" ht="15.75" thickBot="1" x14ac:dyDescent="0.3">
      <c r="A13" s="17" t="s">
        <v>5</v>
      </c>
      <c r="B13" s="26" t="s">
        <v>15</v>
      </c>
      <c r="C13" s="26" t="s">
        <v>16</v>
      </c>
      <c r="D13" s="65" t="s">
        <v>40</v>
      </c>
      <c r="E13" s="56"/>
      <c r="F13" s="4"/>
      <c r="G13" s="59"/>
      <c r="H13" s="302"/>
      <c r="I13" s="302"/>
      <c r="J13" s="74"/>
      <c r="K13" s="74"/>
      <c r="L13" s="75"/>
      <c r="M13" s="106"/>
      <c r="N13" s="106"/>
      <c r="O13" s="6"/>
      <c r="P13" s="3"/>
      <c r="Q13" s="3"/>
      <c r="R13" s="3"/>
    </row>
    <row r="14" spans="1:18" ht="15.75" thickBot="1" x14ac:dyDescent="0.3">
      <c r="A14" s="17" t="s">
        <v>6</v>
      </c>
      <c r="B14" s="26" t="s">
        <v>15</v>
      </c>
      <c r="C14" s="26" t="s">
        <v>16</v>
      </c>
      <c r="D14" s="65" t="s">
        <v>40</v>
      </c>
      <c r="E14" s="56"/>
      <c r="F14" s="5" t="str">
        <f>IF(H14="children","",IF(H14="NA","","Male"))</f>
        <v>Male</v>
      </c>
      <c r="G14" s="7">
        <f>'Sanitary Facilities Calculator'!$C$19</f>
        <v>0</v>
      </c>
      <c r="H14" s="295" t="str">
        <f>'Sanitary Facilities Calculator'!$D$19</f>
        <v>participants</v>
      </c>
      <c r="I14" s="296"/>
      <c r="J14" s="73">
        <f t="array" ref="J14">IF(H14="NA","NA",INDEX($E$26:$E$161,MATCH($G$3&amp;$F$14&amp;$H$14&amp;$J$7,$A$26:$A$161&amp;$B$26:$B$161&amp;$C$26:$C$161&amp;$D$26:$D$161,0)))</f>
        <v>0</v>
      </c>
      <c r="K14" s="73">
        <f t="array" ref="K14">IF(H14="NA","NA",INDEX($E$26:$E$161,MATCH($G$3&amp;$F$14&amp;$H$14&amp;$K$7,$A$26:$A$161&amp;$B$26:$B$161&amp;$C$26:$C$161&amp;$D$26:$D$161,0)))</f>
        <v>0</v>
      </c>
      <c r="L14" s="73">
        <f t="array" ref="L14">IF(H14="NA","NA",INDEX($E$26:$E$161,MATCH($G$3&amp;$F$14&amp;$H$14&amp;$L$7,$A$26:$A$161&amp;$B$26:$B$161&amp;$C$26:$C$161&amp;$D$26:$D$161,0)))</f>
        <v>0</v>
      </c>
      <c r="M14" s="73">
        <f t="array" ref="M14">IF(H14="NA","NA",IFERROR(INDEX($E$26:$E$179,MATCH($G$3&amp;$F$14&amp;$H$14&amp;$M$7,$A$26:$A$179&amp;$B$26:$B$179&amp;$C$26:$C$179&amp;$D$26:$D$179,0)),"0"))</f>
        <v>0</v>
      </c>
      <c r="N14" s="73" t="str">
        <f t="array" ref="N14">IF(H14="NA","NA",IFERROR(INDEX($E$26:$E$179,MATCH($G$3&amp;$F$14&amp;$H$14&amp;$N$7,$A$26:$A$179&amp;$B$26:$B$179&amp;$C$26:$C$179&amp;$D$26:$D$179,0)),"0"))</f>
        <v>0</v>
      </c>
      <c r="O14" s="6" t="s">
        <v>84</v>
      </c>
      <c r="P14" s="56"/>
      <c r="Q14" s="56"/>
      <c r="R14" s="56"/>
    </row>
    <row r="15" spans="1:18" ht="15.75" thickBot="1" x14ac:dyDescent="0.3">
      <c r="A15" s="17" t="s">
        <v>4</v>
      </c>
      <c r="B15" s="26" t="s">
        <v>15</v>
      </c>
      <c r="C15" s="26" t="s">
        <v>40</v>
      </c>
      <c r="D15" s="65" t="s">
        <v>40</v>
      </c>
      <c r="E15" s="56"/>
      <c r="F15" s="5" t="str">
        <f>IF(H15="children","",IF(H15="NA","","Female"))</f>
        <v>Female</v>
      </c>
      <c r="G15" s="7">
        <f>'Sanitary Facilities Calculator'!$C$20</f>
        <v>0</v>
      </c>
      <c r="H15" s="295" t="str">
        <f>'Sanitary Facilities Calculator'!$D$20</f>
        <v>participants</v>
      </c>
      <c r="I15" s="296"/>
      <c r="J15" s="73">
        <f t="array" ref="J15">IF(H15="NA","NA",INDEX($E$26:$E$161,MATCH($G$3&amp;$F$15&amp;$H$15&amp;$J$7,$A$26:$A$161&amp;$B$26:$B$161&amp;$C$26:$C$161&amp;$D$26:$D$161,0)))</f>
        <v>0</v>
      </c>
      <c r="K15" s="73" t="s">
        <v>40</v>
      </c>
      <c r="L15" s="73">
        <f t="array" ref="L15">IF(H15="NA","NA",INDEX($E$26:$E$161,MATCH($G$3&amp;$F$15&amp;$H$15&amp;$L$7,$A$26:$A$161&amp;$B$26:$B$161&amp;$C$26:$C$161&amp;$D$26:$D$161,0)))</f>
        <v>0</v>
      </c>
      <c r="M15" s="73">
        <f t="array" ref="M15">IF(H15="NA","NA",IFERROR(INDEX($E$26:$E$179,MATCH($G$3&amp;$F$15&amp;$H$15&amp;$M$7,$A$26:$A$179&amp;$B$26:$B$179&amp;$C$26:$C$179&amp;$D$26:$D$179,0)),"0"))</f>
        <v>0</v>
      </c>
      <c r="N15" s="73" t="str">
        <f t="array" ref="N15">IF(H15="NA","NA",IFERROR(INDEX($E$26:$E$179,MATCH($G$3&amp;$F$15&amp;$H$15&amp;$N$7,$A$26:$A$179&amp;$B$26:$B$179&amp;$C$26:$C$179&amp;$D$26:$D$179,0)),"0"))</f>
        <v>0</v>
      </c>
      <c r="O15" s="6"/>
      <c r="P15" s="56"/>
      <c r="Q15" s="56"/>
      <c r="R15" s="56"/>
    </row>
    <row r="16" spans="1:18" x14ac:dyDescent="0.25">
      <c r="A16" s="17" t="s">
        <v>7</v>
      </c>
      <c r="B16" s="26" t="s">
        <v>15</v>
      </c>
      <c r="C16" s="26" t="s">
        <v>14</v>
      </c>
      <c r="D16" s="65" t="s">
        <v>40</v>
      </c>
      <c r="E16" s="56"/>
      <c r="F16" s="55"/>
      <c r="G16" s="6"/>
      <c r="H16" s="6"/>
      <c r="I16" s="56"/>
      <c r="J16" s="56"/>
      <c r="K16" s="56"/>
      <c r="L16" s="6"/>
      <c r="M16" s="6"/>
    </row>
    <row r="17" spans="1:27" x14ac:dyDescent="0.25">
      <c r="A17" s="17" t="s">
        <v>12</v>
      </c>
      <c r="B17" s="26" t="s">
        <v>15</v>
      </c>
      <c r="C17" s="26" t="s">
        <v>16</v>
      </c>
      <c r="D17" s="65" t="s">
        <v>40</v>
      </c>
      <c r="E17" s="56"/>
      <c r="F17" s="6"/>
      <c r="G17" s="6"/>
      <c r="H17" s="6"/>
      <c r="I17" s="3"/>
      <c r="J17" s="3"/>
      <c r="K17" s="3"/>
      <c r="L17" s="6"/>
      <c r="M17" s="6"/>
    </row>
    <row r="18" spans="1:27" x14ac:dyDescent="0.25">
      <c r="A18" s="17" t="s">
        <v>9</v>
      </c>
      <c r="B18" s="26" t="s">
        <v>15</v>
      </c>
      <c r="C18" s="26" t="s">
        <v>17</v>
      </c>
      <c r="D18" s="65" t="s">
        <v>40</v>
      </c>
      <c r="E18" s="56"/>
      <c r="F18" s="55"/>
      <c r="G18" s="6"/>
      <c r="H18" s="6"/>
      <c r="I18" s="56"/>
      <c r="J18" s="56"/>
      <c r="K18" s="56"/>
      <c r="L18" s="6"/>
      <c r="M18" s="6"/>
    </row>
    <row r="19" spans="1:27" x14ac:dyDescent="0.25">
      <c r="A19" s="17" t="s">
        <v>13</v>
      </c>
      <c r="B19" s="26" t="s">
        <v>15</v>
      </c>
      <c r="C19" s="26" t="s">
        <v>16</v>
      </c>
      <c r="D19" s="65" t="s">
        <v>40</v>
      </c>
      <c r="E19" s="56"/>
      <c r="F19" s="55"/>
      <c r="G19" s="6"/>
      <c r="H19" s="6"/>
      <c r="I19" s="56"/>
      <c r="J19" s="56"/>
      <c r="K19" s="56"/>
      <c r="L19" s="6"/>
      <c r="M19" s="6"/>
    </row>
    <row r="20" spans="1:27" x14ac:dyDescent="0.25">
      <c r="A20" s="17" t="s">
        <v>8</v>
      </c>
      <c r="B20" s="26" t="s">
        <v>15</v>
      </c>
      <c r="C20" s="26" t="s">
        <v>19</v>
      </c>
      <c r="D20" s="65" t="s">
        <v>40</v>
      </c>
    </row>
    <row r="21" spans="1:27" x14ac:dyDescent="0.25">
      <c r="A21" s="17" t="s">
        <v>18</v>
      </c>
      <c r="B21" s="26" t="s">
        <v>15</v>
      </c>
      <c r="C21" s="26" t="s">
        <v>21</v>
      </c>
      <c r="D21" s="65" t="s">
        <v>40</v>
      </c>
    </row>
    <row r="22" spans="1:27" x14ac:dyDescent="0.25">
      <c r="A22" s="17" t="s">
        <v>11</v>
      </c>
      <c r="B22" s="26" t="s">
        <v>15</v>
      </c>
      <c r="C22" s="26" t="s">
        <v>21</v>
      </c>
      <c r="D22" s="65" t="s">
        <v>20</v>
      </c>
    </row>
    <row r="23" spans="1:27" ht="30" x14ac:dyDescent="0.25">
      <c r="A23" s="26" t="s">
        <v>10</v>
      </c>
      <c r="B23" s="26" t="s">
        <v>15</v>
      </c>
      <c r="C23" s="26" t="s">
        <v>21</v>
      </c>
      <c r="D23" s="65" t="s">
        <v>20</v>
      </c>
    </row>
    <row r="24" spans="1:27" ht="15.75" thickBot="1" x14ac:dyDescent="0.3">
      <c r="A24" s="83" t="s">
        <v>81</v>
      </c>
      <c r="B24" s="27" t="s">
        <v>15</v>
      </c>
      <c r="C24" s="27" t="s">
        <v>71</v>
      </c>
      <c r="D24" s="12" t="s">
        <v>40</v>
      </c>
    </row>
    <row r="25" spans="1:27" ht="15.75" thickBot="1" x14ac:dyDescent="0.3"/>
    <row r="26" spans="1:27" ht="15.75" thickBot="1" x14ac:dyDescent="0.3">
      <c r="A26" s="18" t="s">
        <v>26</v>
      </c>
      <c r="B26" s="18" t="s">
        <v>27</v>
      </c>
      <c r="C26" s="18" t="s">
        <v>49</v>
      </c>
      <c r="D26" s="66" t="s">
        <v>28</v>
      </c>
      <c r="E26" s="62" t="s">
        <v>46</v>
      </c>
      <c r="F26" s="22" t="s">
        <v>29</v>
      </c>
      <c r="G26" s="35" t="s">
        <v>30</v>
      </c>
      <c r="H26" s="37" t="s">
        <v>52</v>
      </c>
      <c r="I26" s="22" t="s">
        <v>31</v>
      </c>
      <c r="J26" s="35" t="s">
        <v>32</v>
      </c>
      <c r="K26" s="37" t="s">
        <v>58</v>
      </c>
      <c r="L26" s="22" t="s">
        <v>33</v>
      </c>
      <c r="M26" s="35" t="s">
        <v>34</v>
      </c>
      <c r="N26" s="8" t="s">
        <v>57</v>
      </c>
      <c r="O26" s="22" t="s">
        <v>35</v>
      </c>
      <c r="P26" s="35" t="s">
        <v>36</v>
      </c>
      <c r="Q26" s="8" t="s">
        <v>56</v>
      </c>
      <c r="R26" s="22" t="s">
        <v>37</v>
      </c>
      <c r="S26" s="35" t="s">
        <v>47</v>
      </c>
      <c r="T26" s="8" t="s">
        <v>55</v>
      </c>
      <c r="U26" s="22" t="s">
        <v>38</v>
      </c>
      <c r="V26" s="35" t="s">
        <v>48</v>
      </c>
      <c r="W26" s="8" t="s">
        <v>54</v>
      </c>
      <c r="X26" s="28" t="s">
        <v>50</v>
      </c>
      <c r="Y26" s="39" t="s">
        <v>51</v>
      </c>
      <c r="Z26" s="43" t="s">
        <v>53</v>
      </c>
      <c r="AA26" s="72" t="s">
        <v>62</v>
      </c>
    </row>
    <row r="27" spans="1:27" x14ac:dyDescent="0.25">
      <c r="A27" s="19" t="s">
        <v>162</v>
      </c>
      <c r="B27" s="19" t="s">
        <v>42</v>
      </c>
      <c r="C27" s="19" t="s">
        <v>15</v>
      </c>
      <c r="D27" s="67" t="s">
        <v>23</v>
      </c>
      <c r="E27" s="56">
        <f>SUM(H27,K27,N27,Q27,T27,W27,Z27,AA27)</f>
        <v>0</v>
      </c>
      <c r="F27" s="23">
        <v>15</v>
      </c>
      <c r="G27" s="36">
        <v>1</v>
      </c>
      <c r="H27" s="9">
        <f>IF($G$9&gt;=1,1,0)</f>
        <v>0</v>
      </c>
      <c r="I27" s="23"/>
      <c r="J27" s="36"/>
      <c r="K27" s="9"/>
      <c r="L27" s="23"/>
      <c r="M27" s="36"/>
      <c r="N27" s="9"/>
      <c r="O27" s="23"/>
      <c r="P27" s="33"/>
      <c r="Q27" s="9"/>
      <c r="R27" s="23"/>
      <c r="S27" s="36"/>
      <c r="T27" s="9"/>
      <c r="U27" s="23"/>
      <c r="V27" s="33"/>
      <c r="W27" s="10"/>
      <c r="X27" s="23"/>
      <c r="Y27" s="33"/>
      <c r="Z27" s="9"/>
      <c r="AA27" s="30">
        <f>ROUNDUP(IF($G$9&gt;F27,SUM(($G$9-F27)/F27)),0)</f>
        <v>0</v>
      </c>
    </row>
    <row r="28" spans="1:27" x14ac:dyDescent="0.25">
      <c r="A28" s="19" t="s">
        <v>162</v>
      </c>
      <c r="B28" s="19" t="s">
        <v>42</v>
      </c>
      <c r="C28" s="19" t="s">
        <v>15</v>
      </c>
      <c r="D28" s="67" t="s">
        <v>60</v>
      </c>
      <c r="E28" s="56">
        <f t="shared" ref="E28:E104" si="0">SUM(H28,K28,N28,Q28,T28,W28,Z28,AA28)</f>
        <v>0</v>
      </c>
      <c r="F28" s="23">
        <v>30</v>
      </c>
      <c r="G28" s="33">
        <v>1</v>
      </c>
      <c r="H28" s="9">
        <f>IF($G$9&gt;=1,1,0)</f>
        <v>0</v>
      </c>
      <c r="I28" s="23"/>
      <c r="J28" s="33"/>
      <c r="K28" s="9"/>
      <c r="L28" s="23"/>
      <c r="M28" s="33"/>
      <c r="N28" s="9"/>
      <c r="O28" s="23"/>
      <c r="P28" s="33"/>
      <c r="Q28" s="9"/>
      <c r="R28" s="23"/>
      <c r="S28" s="33"/>
      <c r="T28" s="9"/>
      <c r="U28" s="23"/>
      <c r="V28" s="33"/>
      <c r="W28" s="10"/>
      <c r="X28" s="23"/>
      <c r="Y28" s="33"/>
      <c r="Z28" s="9"/>
      <c r="AA28" s="30">
        <f>ROUNDUP(IF($G$9&gt;F28,SUM(($G$9-F28)/F28)),0)</f>
        <v>0</v>
      </c>
    </row>
    <row r="29" spans="1:27" x14ac:dyDescent="0.25">
      <c r="A29" s="19" t="s">
        <v>162</v>
      </c>
      <c r="B29" s="19" t="s">
        <v>41</v>
      </c>
      <c r="C29" s="19" t="s">
        <v>15</v>
      </c>
      <c r="D29" s="67" t="s">
        <v>23</v>
      </c>
      <c r="E29" s="56">
        <f t="shared" si="0"/>
        <v>0</v>
      </c>
      <c r="F29" s="23">
        <v>20</v>
      </c>
      <c r="G29" s="33">
        <v>1</v>
      </c>
      <c r="H29" s="9">
        <f>IF($G$8&gt;=1,1,0)</f>
        <v>0</v>
      </c>
      <c r="I29" s="23"/>
      <c r="J29" s="33"/>
      <c r="K29" s="9"/>
      <c r="L29" s="23"/>
      <c r="M29" s="33"/>
      <c r="N29" s="10"/>
      <c r="O29" s="23"/>
      <c r="P29" s="33"/>
      <c r="Q29" s="9"/>
      <c r="R29" s="23"/>
      <c r="S29" s="33"/>
      <c r="T29" s="9"/>
      <c r="U29" s="23"/>
      <c r="V29" s="33"/>
      <c r="W29" s="10"/>
      <c r="X29" s="23"/>
      <c r="Y29" s="33"/>
      <c r="Z29" s="9"/>
      <c r="AA29" s="30">
        <f>ROUNDUP(IF($G$8&gt;F29,SUM(($G$8-F29)/F29)),0)</f>
        <v>0</v>
      </c>
    </row>
    <row r="30" spans="1:27" x14ac:dyDescent="0.25">
      <c r="A30" s="19" t="s">
        <v>162</v>
      </c>
      <c r="B30" s="19" t="s">
        <v>41</v>
      </c>
      <c r="C30" s="19" t="s">
        <v>15</v>
      </c>
      <c r="D30" s="67" t="s">
        <v>24</v>
      </c>
      <c r="E30" s="56">
        <f t="shared" si="0"/>
        <v>0</v>
      </c>
      <c r="F30" s="23">
        <v>10</v>
      </c>
      <c r="G30" s="33">
        <v>0</v>
      </c>
      <c r="H30" s="9">
        <f>IF($G$8&gt;10,1,0)</f>
        <v>0</v>
      </c>
      <c r="I30" s="23">
        <v>25</v>
      </c>
      <c r="J30" s="33">
        <v>1</v>
      </c>
      <c r="K30" s="9">
        <f>IF($G$8&gt;I30,1,0)</f>
        <v>0</v>
      </c>
      <c r="L30" s="23">
        <v>50</v>
      </c>
      <c r="M30" s="33">
        <v>2</v>
      </c>
      <c r="N30" s="9"/>
      <c r="O30" s="23"/>
      <c r="P30" s="33"/>
      <c r="Q30" s="9"/>
      <c r="R30" s="23"/>
      <c r="S30" s="33"/>
      <c r="T30" s="9"/>
      <c r="U30" s="23"/>
      <c r="V30" s="33"/>
      <c r="W30" s="10"/>
      <c r="X30" s="23"/>
      <c r="Y30" s="33"/>
      <c r="Z30" s="9"/>
      <c r="AA30" s="30">
        <f>ROUNDUP(IF($G$8&gt;L30,SUM(($G$8-L30)/L30)),0)</f>
        <v>0</v>
      </c>
    </row>
    <row r="31" spans="1:27" ht="15.75" thickBot="1" x14ac:dyDescent="0.3">
      <c r="A31" s="19" t="s">
        <v>162</v>
      </c>
      <c r="B31" s="20" t="s">
        <v>41</v>
      </c>
      <c r="C31" s="20" t="s">
        <v>15</v>
      </c>
      <c r="D31" s="68" t="s">
        <v>60</v>
      </c>
      <c r="E31" s="32">
        <f t="shared" si="0"/>
        <v>0</v>
      </c>
      <c r="F31" s="24">
        <v>30</v>
      </c>
      <c r="G31" s="34">
        <v>1</v>
      </c>
      <c r="H31" s="32">
        <f>IF($G$8&gt;=1,1,0)</f>
        <v>0</v>
      </c>
      <c r="I31" s="24"/>
      <c r="J31" s="34"/>
      <c r="K31" s="11"/>
      <c r="L31" s="24"/>
      <c r="M31" s="34"/>
      <c r="N31" s="11"/>
      <c r="O31" s="24"/>
      <c r="P31" s="38"/>
      <c r="Q31" s="32"/>
      <c r="R31" s="24"/>
      <c r="S31" s="33"/>
      <c r="T31" s="9"/>
      <c r="U31" s="24"/>
      <c r="V31" s="34"/>
      <c r="W31" s="12"/>
      <c r="X31" s="24"/>
      <c r="Y31" s="38"/>
      <c r="Z31" s="11"/>
      <c r="AA31" s="31">
        <f>ROUNDUP(IF($G$8&gt;F31,SUM(($G$8-F31)/F31)),0)</f>
        <v>0</v>
      </c>
    </row>
    <row r="32" spans="1:27" x14ac:dyDescent="0.25">
      <c r="A32" s="21" t="s">
        <v>5</v>
      </c>
      <c r="B32" s="19" t="s">
        <v>42</v>
      </c>
      <c r="C32" s="19" t="s">
        <v>15</v>
      </c>
      <c r="D32" s="69" t="s">
        <v>23</v>
      </c>
      <c r="E32" s="56">
        <f t="shared" si="0"/>
        <v>0</v>
      </c>
      <c r="F32" s="25">
        <v>15</v>
      </c>
      <c r="G32" s="36">
        <v>1</v>
      </c>
      <c r="H32" s="9">
        <f>IF($G$9&gt;=1,1,0)</f>
        <v>0</v>
      </c>
      <c r="I32" s="25"/>
      <c r="J32" s="36"/>
      <c r="K32" s="13"/>
      <c r="L32" s="25"/>
      <c r="M32" s="36"/>
      <c r="N32" s="9"/>
      <c r="O32" s="23"/>
      <c r="P32" s="33"/>
      <c r="Q32" s="9"/>
      <c r="R32" s="25"/>
      <c r="S32" s="36"/>
      <c r="T32" s="13"/>
      <c r="U32" s="25"/>
      <c r="V32" s="36"/>
      <c r="W32" s="10"/>
      <c r="X32" s="23"/>
      <c r="Y32" s="33"/>
      <c r="Z32" s="9"/>
      <c r="AA32" s="30">
        <f>ROUNDUP(IF($G$9&gt;F32,SUM(($G$9-F32)/F32)),0)</f>
        <v>0</v>
      </c>
    </row>
    <row r="33" spans="1:27" x14ac:dyDescent="0.25">
      <c r="A33" s="19" t="s">
        <v>5</v>
      </c>
      <c r="B33" s="19" t="s">
        <v>42</v>
      </c>
      <c r="C33" s="19" t="s">
        <v>15</v>
      </c>
      <c r="D33" s="67" t="s">
        <v>60</v>
      </c>
      <c r="E33" s="56">
        <f t="shared" si="0"/>
        <v>0</v>
      </c>
      <c r="F33" s="23">
        <v>30</v>
      </c>
      <c r="G33" s="33">
        <v>1</v>
      </c>
      <c r="H33" s="9">
        <f>IF($G$9&gt;=1,1,0)</f>
        <v>0</v>
      </c>
      <c r="I33" s="23"/>
      <c r="J33" s="33"/>
      <c r="K33" s="9"/>
      <c r="L33" s="23"/>
      <c r="M33" s="33"/>
      <c r="N33" s="9"/>
      <c r="O33" s="23"/>
      <c r="P33" s="33"/>
      <c r="Q33" s="9"/>
      <c r="R33" s="23"/>
      <c r="S33" s="33"/>
      <c r="T33" s="9"/>
      <c r="U33" s="23"/>
      <c r="V33" s="33"/>
      <c r="W33" s="10"/>
      <c r="X33" s="23"/>
      <c r="Y33" s="33"/>
      <c r="Z33" s="9"/>
      <c r="AA33" s="30">
        <f>ROUNDUP(IF($G$9&gt;F33,SUM(($G$9-F33)/F33)),0)</f>
        <v>0</v>
      </c>
    </row>
    <row r="34" spans="1:27" x14ac:dyDescent="0.25">
      <c r="A34" s="19" t="s">
        <v>5</v>
      </c>
      <c r="B34" s="19" t="s">
        <v>41</v>
      </c>
      <c r="C34" s="19" t="s">
        <v>15</v>
      </c>
      <c r="D34" s="67" t="s">
        <v>23</v>
      </c>
      <c r="E34" s="56">
        <f t="shared" si="0"/>
        <v>0</v>
      </c>
      <c r="F34" s="23">
        <v>20</v>
      </c>
      <c r="G34" s="33">
        <v>1</v>
      </c>
      <c r="H34" s="9">
        <f>IF($G$8&gt;=1,1,0)</f>
        <v>0</v>
      </c>
      <c r="I34" s="23"/>
      <c r="J34" s="33"/>
      <c r="K34" s="9"/>
      <c r="L34" s="23"/>
      <c r="M34" s="33"/>
      <c r="N34" s="10"/>
      <c r="O34" s="23"/>
      <c r="P34" s="33"/>
      <c r="Q34" s="9"/>
      <c r="R34" s="23"/>
      <c r="S34" s="33"/>
      <c r="T34" s="9"/>
      <c r="U34" s="23"/>
      <c r="V34" s="33"/>
      <c r="W34" s="10"/>
      <c r="X34" s="23"/>
      <c r="Y34" s="33"/>
      <c r="Z34" s="9"/>
      <c r="AA34" s="30">
        <f>ROUNDUP(IF($G$8&gt;F34,SUM(($G$8-F34)/F34)),0)</f>
        <v>0</v>
      </c>
    </row>
    <row r="35" spans="1:27" x14ac:dyDescent="0.25">
      <c r="A35" s="19" t="s">
        <v>5</v>
      </c>
      <c r="B35" s="19" t="s">
        <v>41</v>
      </c>
      <c r="C35" s="19" t="s">
        <v>15</v>
      </c>
      <c r="D35" s="67" t="s">
        <v>24</v>
      </c>
      <c r="E35" s="56">
        <f t="shared" si="0"/>
        <v>0</v>
      </c>
      <c r="F35" s="23">
        <v>10</v>
      </c>
      <c r="G35" s="33">
        <v>0</v>
      </c>
      <c r="H35" s="9">
        <f>IF($G$8&gt;10,1,0)</f>
        <v>0</v>
      </c>
      <c r="I35" s="23">
        <v>25</v>
      </c>
      <c r="J35" s="33">
        <v>1</v>
      </c>
      <c r="K35" s="9">
        <f>IF($G$8&gt;I35,1,0)</f>
        <v>0</v>
      </c>
      <c r="L35" s="23">
        <v>50</v>
      </c>
      <c r="M35" s="33">
        <v>2</v>
      </c>
      <c r="N35" s="9"/>
      <c r="O35" s="23"/>
      <c r="P35" s="33"/>
      <c r="Q35" s="9"/>
      <c r="R35" s="23"/>
      <c r="S35" s="33"/>
      <c r="T35" s="9"/>
      <c r="U35" s="23"/>
      <c r="V35" s="33"/>
      <c r="W35" s="10"/>
      <c r="X35" s="23"/>
      <c r="Y35" s="33"/>
      <c r="Z35" s="9"/>
      <c r="AA35" s="30">
        <f>ROUNDUP(IF($G$8&gt;L35,SUM(($G$8-L35)/L35)),0)</f>
        <v>0</v>
      </c>
    </row>
    <row r="36" spans="1:27" ht="15.75" thickBot="1" x14ac:dyDescent="0.3">
      <c r="A36" s="19" t="s">
        <v>5</v>
      </c>
      <c r="B36" s="20" t="s">
        <v>41</v>
      </c>
      <c r="C36" s="20" t="s">
        <v>15</v>
      </c>
      <c r="D36" s="68" t="s">
        <v>60</v>
      </c>
      <c r="E36" s="32">
        <f t="shared" si="0"/>
        <v>0</v>
      </c>
      <c r="F36" s="24">
        <v>30</v>
      </c>
      <c r="G36" s="34">
        <v>1</v>
      </c>
      <c r="H36" s="32">
        <f>IF($G$8&gt;=1,1,0)</f>
        <v>0</v>
      </c>
      <c r="I36" s="24"/>
      <c r="J36" s="34"/>
      <c r="K36" s="11"/>
      <c r="L36" s="24"/>
      <c r="M36" s="34"/>
      <c r="N36" s="11"/>
      <c r="O36" s="24"/>
      <c r="P36" s="34"/>
      <c r="Q36" s="11"/>
      <c r="R36" s="24"/>
      <c r="S36" s="34"/>
      <c r="T36" s="11"/>
      <c r="U36" s="24"/>
      <c r="V36" s="34"/>
      <c r="W36" s="12"/>
      <c r="X36" s="24"/>
      <c r="Y36" s="34"/>
      <c r="Z36" s="11"/>
      <c r="AA36" s="31">
        <f>ROUNDUP(IF($G$8&gt;F36,SUM(($G$8-F36)/F36)),0)</f>
        <v>0</v>
      </c>
    </row>
    <row r="37" spans="1:27" x14ac:dyDescent="0.25">
      <c r="A37" s="19" t="s">
        <v>5</v>
      </c>
      <c r="B37" s="19" t="s">
        <v>42</v>
      </c>
      <c r="C37" s="19" t="s">
        <v>16</v>
      </c>
      <c r="D37" s="69" t="s">
        <v>23</v>
      </c>
      <c r="E37" s="76">
        <f t="shared" si="0"/>
        <v>0</v>
      </c>
      <c r="F37" s="23">
        <v>300</v>
      </c>
      <c r="G37" s="33">
        <v>1</v>
      </c>
      <c r="H37" s="9">
        <f>IF($G$12&gt;1,1,0)</f>
        <v>0</v>
      </c>
      <c r="I37" s="23">
        <v>600</v>
      </c>
      <c r="J37" s="33">
        <v>1</v>
      </c>
      <c r="K37" s="9">
        <f>IF($G$12&gt;I37,1,0)</f>
        <v>0</v>
      </c>
      <c r="L37" s="23"/>
      <c r="M37" s="33"/>
      <c r="N37" s="9"/>
      <c r="O37" s="23"/>
      <c r="P37" s="33"/>
      <c r="Q37" s="9"/>
      <c r="R37" s="23"/>
      <c r="S37" s="33"/>
      <c r="T37" s="9"/>
      <c r="U37" s="23"/>
      <c r="V37" s="33"/>
      <c r="W37" s="10"/>
      <c r="X37" s="23"/>
      <c r="Y37" s="33"/>
      <c r="Z37" s="9"/>
      <c r="AA37" s="30">
        <f>ROUNDUP(IF($G$12&gt;I37,SUM(($G$12-I37)/1200)),0)</f>
        <v>0</v>
      </c>
    </row>
    <row r="38" spans="1:27" x14ac:dyDescent="0.25">
      <c r="A38" s="19" t="s">
        <v>5</v>
      </c>
      <c r="B38" s="19" t="s">
        <v>42</v>
      </c>
      <c r="C38" s="19" t="s">
        <v>16</v>
      </c>
      <c r="D38" s="67" t="s">
        <v>60</v>
      </c>
      <c r="E38" s="77">
        <f t="shared" si="0"/>
        <v>0</v>
      </c>
      <c r="F38" s="23">
        <v>600</v>
      </c>
      <c r="G38" s="33">
        <v>1</v>
      </c>
      <c r="H38" s="9">
        <f>IF($G$12&gt;1,1,0)</f>
        <v>0</v>
      </c>
      <c r="I38" s="23">
        <v>1200</v>
      </c>
      <c r="J38" s="33">
        <v>1</v>
      </c>
      <c r="K38" s="9">
        <f>IF(G12&gt;F38,1,0)</f>
        <v>0</v>
      </c>
      <c r="L38" s="23"/>
      <c r="M38" s="33"/>
      <c r="N38" s="9"/>
      <c r="O38" s="23"/>
      <c r="P38" s="33"/>
      <c r="Q38" s="9"/>
      <c r="R38" s="23"/>
      <c r="S38" s="33"/>
      <c r="T38" s="9"/>
      <c r="U38" s="23"/>
      <c r="V38" s="33"/>
      <c r="W38" s="10"/>
      <c r="X38" s="23"/>
      <c r="Y38" s="33"/>
      <c r="Z38" s="9"/>
      <c r="AA38" s="30">
        <f>ROUNDUP(IF($G$12&gt;I38,SUM(($G$12-I38)/1200)),0)</f>
        <v>0</v>
      </c>
    </row>
    <row r="39" spans="1:27" x14ac:dyDescent="0.25">
      <c r="A39" s="19" t="s">
        <v>5</v>
      </c>
      <c r="B39" s="19" t="s">
        <v>41</v>
      </c>
      <c r="C39" s="19" t="s">
        <v>16</v>
      </c>
      <c r="D39" s="67" t="s">
        <v>23</v>
      </c>
      <c r="E39" s="77">
        <f>SUM(H39,K39,N39,Q39,T39,W39,Z39,AA39)</f>
        <v>0</v>
      </c>
      <c r="F39" s="23">
        <v>1200</v>
      </c>
      <c r="G39" s="33">
        <v>1</v>
      </c>
      <c r="H39" s="9">
        <f>IF($G$11&gt;=1,1,0)</f>
        <v>0</v>
      </c>
      <c r="I39" s="23"/>
      <c r="J39" s="33"/>
      <c r="K39" s="9"/>
      <c r="L39" s="23"/>
      <c r="M39" s="33"/>
      <c r="N39" s="9"/>
      <c r="O39" s="23"/>
      <c r="P39" s="33"/>
      <c r="Q39" s="9"/>
      <c r="R39" s="23"/>
      <c r="S39" s="33"/>
      <c r="T39" s="9"/>
      <c r="U39" s="23"/>
      <c r="V39" s="33"/>
      <c r="W39" s="10"/>
      <c r="X39" s="23"/>
      <c r="Y39" s="33"/>
      <c r="Z39" s="9"/>
      <c r="AA39" s="30">
        <f>ROUNDUP(IF($G$11&gt;F39,SUM(($G$11-F39)/F39)),0)</f>
        <v>0</v>
      </c>
    </row>
    <row r="40" spans="1:27" x14ac:dyDescent="0.25">
      <c r="A40" s="19" t="s">
        <v>5</v>
      </c>
      <c r="B40" s="19" t="s">
        <v>41</v>
      </c>
      <c r="C40" s="19" t="s">
        <v>16</v>
      </c>
      <c r="D40" s="67" t="s">
        <v>24</v>
      </c>
      <c r="E40" s="77">
        <f t="shared" si="0"/>
        <v>0</v>
      </c>
      <c r="F40" s="23">
        <v>600</v>
      </c>
      <c r="G40" s="33">
        <v>1</v>
      </c>
      <c r="H40" s="9">
        <f t="shared" ref="H40:H41" si="1">IF($G$11&gt;=1,1,0)</f>
        <v>0</v>
      </c>
      <c r="I40" s="23"/>
      <c r="J40" s="33"/>
      <c r="K40" s="9"/>
      <c r="L40" s="23"/>
      <c r="M40" s="33"/>
      <c r="N40" s="9"/>
      <c r="O40" s="23"/>
      <c r="P40" s="33"/>
      <c r="Q40" s="9"/>
      <c r="R40" s="23"/>
      <c r="S40" s="33"/>
      <c r="T40" s="9"/>
      <c r="U40" s="23"/>
      <c r="V40" s="33"/>
      <c r="W40" s="10"/>
      <c r="X40" s="23"/>
      <c r="Y40" s="33"/>
      <c r="Z40" s="9"/>
      <c r="AA40" s="30">
        <f>ROUNDUP(IF($G$11&gt;F40,SUM(($G$11-F40)/1200)),0)</f>
        <v>0</v>
      </c>
    </row>
    <row r="41" spans="1:27" ht="15.75" thickBot="1" x14ac:dyDescent="0.3">
      <c r="A41" s="20" t="s">
        <v>5</v>
      </c>
      <c r="B41" s="20" t="s">
        <v>41</v>
      </c>
      <c r="C41" s="20" t="s">
        <v>16</v>
      </c>
      <c r="D41" s="68" t="s">
        <v>60</v>
      </c>
      <c r="E41" s="32">
        <f>SUM(H41,K41,N41,Q41,T41,W41,Z41,AA41)</f>
        <v>0</v>
      </c>
      <c r="F41" s="24">
        <v>600</v>
      </c>
      <c r="G41" s="34">
        <v>1</v>
      </c>
      <c r="H41" s="32">
        <f t="shared" si="1"/>
        <v>0</v>
      </c>
      <c r="I41" s="24"/>
      <c r="J41" s="34"/>
      <c r="K41" s="32"/>
      <c r="L41" s="24"/>
      <c r="M41" s="34"/>
      <c r="N41" s="11"/>
      <c r="O41" s="24"/>
      <c r="P41" s="34"/>
      <c r="Q41" s="11"/>
      <c r="R41" s="24"/>
      <c r="S41" s="34"/>
      <c r="T41" s="11"/>
      <c r="U41" s="24"/>
      <c r="V41" s="34"/>
      <c r="W41" s="12"/>
      <c r="X41" s="24"/>
      <c r="Y41" s="34"/>
      <c r="Z41" s="11"/>
      <c r="AA41" s="31">
        <f>ROUNDUP(IF($G$11&gt;F41,SUM(($G$11-F41)/1200)),0)</f>
        <v>0</v>
      </c>
    </row>
    <row r="42" spans="1:27" x14ac:dyDescent="0.25">
      <c r="A42" s="47" t="s">
        <v>6</v>
      </c>
      <c r="B42" s="19" t="s">
        <v>42</v>
      </c>
      <c r="C42" s="19" t="s">
        <v>15</v>
      </c>
      <c r="D42" s="67" t="s">
        <v>23</v>
      </c>
      <c r="E42" s="56">
        <f t="shared" si="0"/>
        <v>0</v>
      </c>
      <c r="F42" s="23">
        <v>15</v>
      </c>
      <c r="G42" s="33">
        <v>1</v>
      </c>
      <c r="H42" s="9">
        <f>IF($G$9&gt;=1,1,0)</f>
        <v>0</v>
      </c>
      <c r="I42" s="23"/>
      <c r="J42" s="33"/>
      <c r="K42" s="9"/>
      <c r="L42" s="23"/>
      <c r="M42" s="33"/>
      <c r="N42" s="9"/>
      <c r="O42" s="23"/>
      <c r="P42" s="33"/>
      <c r="Q42" s="9"/>
      <c r="R42" s="23"/>
      <c r="S42" s="33"/>
      <c r="T42" s="9"/>
      <c r="U42" s="23"/>
      <c r="V42" s="33"/>
      <c r="W42" s="10"/>
      <c r="X42" s="23"/>
      <c r="Y42" s="33"/>
      <c r="Z42" s="9"/>
      <c r="AA42" s="30">
        <f>ROUNDUP(IF($G$9&gt;F42,SUM(($G$9-F42)/F42)),0)</f>
        <v>0</v>
      </c>
    </row>
    <row r="43" spans="1:27" x14ac:dyDescent="0.25">
      <c r="A43" s="47" t="s">
        <v>6</v>
      </c>
      <c r="B43" s="19" t="s">
        <v>42</v>
      </c>
      <c r="C43" s="19" t="s">
        <v>15</v>
      </c>
      <c r="D43" s="67" t="s">
        <v>60</v>
      </c>
      <c r="E43" s="56">
        <f t="shared" si="0"/>
        <v>0</v>
      </c>
      <c r="F43" s="23">
        <v>30</v>
      </c>
      <c r="G43" s="33">
        <v>1</v>
      </c>
      <c r="H43" s="9">
        <f>IF($G$9&gt;=1,1,0)</f>
        <v>0</v>
      </c>
      <c r="I43" s="23"/>
      <c r="J43" s="33"/>
      <c r="K43" s="9"/>
      <c r="L43" s="23"/>
      <c r="M43" s="33"/>
      <c r="N43" s="9"/>
      <c r="O43" s="23"/>
      <c r="P43" s="33"/>
      <c r="Q43" s="9"/>
      <c r="R43" s="23"/>
      <c r="S43" s="33"/>
      <c r="T43" s="9"/>
      <c r="U43" s="23"/>
      <c r="V43" s="33"/>
      <c r="W43" s="10"/>
      <c r="X43" s="23"/>
      <c r="Y43" s="33"/>
      <c r="Z43" s="9"/>
      <c r="AA43" s="30">
        <f>ROUNDUP(IF($G$9&gt;F43,SUM(($G$9-F43)/F43)),0)</f>
        <v>0</v>
      </c>
    </row>
    <row r="44" spans="1:27" x14ac:dyDescent="0.25">
      <c r="A44" s="47" t="s">
        <v>6</v>
      </c>
      <c r="B44" s="19" t="s">
        <v>42</v>
      </c>
      <c r="C44" s="19" t="s">
        <v>16</v>
      </c>
      <c r="D44" s="67" t="s">
        <v>23</v>
      </c>
      <c r="E44" s="56">
        <f t="shared" si="0"/>
        <v>0</v>
      </c>
      <c r="F44" s="23">
        <v>25</v>
      </c>
      <c r="G44" s="33">
        <v>1</v>
      </c>
      <c r="H44" s="9">
        <f>IF($G$12&gt;=1,1,0)</f>
        <v>0</v>
      </c>
      <c r="I44" s="23">
        <v>50</v>
      </c>
      <c r="J44" s="33">
        <v>2</v>
      </c>
      <c r="K44" s="9">
        <f>IF($G$12&gt;F44,1,0)</f>
        <v>0</v>
      </c>
      <c r="L44" s="23">
        <v>100</v>
      </c>
      <c r="M44" s="33">
        <v>3</v>
      </c>
      <c r="N44" s="9">
        <f>IF($G$12&gt;I44,1,0)</f>
        <v>0</v>
      </c>
      <c r="O44" s="23">
        <v>150</v>
      </c>
      <c r="P44" s="33">
        <v>4</v>
      </c>
      <c r="Q44" s="9">
        <f>IF($G$12&gt;L44,1,0)</f>
        <v>0</v>
      </c>
      <c r="R44" s="23">
        <v>200</v>
      </c>
      <c r="S44" s="33">
        <v>5</v>
      </c>
      <c r="T44" s="9">
        <f>IF($G$12&gt;O44,1,0)</f>
        <v>0</v>
      </c>
      <c r="U44" s="23">
        <v>250</v>
      </c>
      <c r="V44" s="33">
        <v>6</v>
      </c>
      <c r="W44" s="9">
        <f>IF($G$12&gt;R44,1,0)</f>
        <v>0</v>
      </c>
      <c r="X44" s="30"/>
      <c r="Y44" s="40"/>
      <c r="Z44" s="44"/>
      <c r="AA44" s="30">
        <f>ROUNDUP(IF($G$12&gt;U44,SUM(($G$12-250)/100)),0)</f>
        <v>0</v>
      </c>
    </row>
    <row r="45" spans="1:27" x14ac:dyDescent="0.25">
      <c r="A45" s="47" t="s">
        <v>6</v>
      </c>
      <c r="B45" s="19" t="s">
        <v>42</v>
      </c>
      <c r="C45" s="19" t="s">
        <v>16</v>
      </c>
      <c r="D45" s="67" t="s">
        <v>60</v>
      </c>
      <c r="E45" s="56">
        <f t="shared" si="0"/>
        <v>0</v>
      </c>
      <c r="F45" s="23">
        <v>50</v>
      </c>
      <c r="G45" s="33">
        <v>1</v>
      </c>
      <c r="H45" s="9">
        <f>IF($G$12&gt;=1,1,0)</f>
        <v>0</v>
      </c>
      <c r="I45" s="23">
        <v>150</v>
      </c>
      <c r="J45" s="33">
        <v>2</v>
      </c>
      <c r="K45" s="9">
        <f>IF($G$12&gt;F45,1,0)</f>
        <v>0</v>
      </c>
      <c r="L45" s="23"/>
      <c r="M45" s="33"/>
      <c r="N45" s="9"/>
      <c r="O45" s="23"/>
      <c r="P45" s="33"/>
      <c r="Q45" s="9"/>
      <c r="R45" s="23"/>
      <c r="S45" s="33"/>
      <c r="T45" s="9"/>
      <c r="U45" s="23"/>
      <c r="V45" s="33"/>
      <c r="W45" s="10"/>
      <c r="X45" s="30"/>
      <c r="Y45" s="40"/>
      <c r="Z45" s="44"/>
      <c r="AA45" s="30">
        <f>ROUNDUP(IF($G$12&gt;I45,SUM(($G$12-I45)/200)),0)</f>
        <v>0</v>
      </c>
    </row>
    <row r="46" spans="1:27" x14ac:dyDescent="0.25">
      <c r="A46" s="47" t="s">
        <v>6</v>
      </c>
      <c r="B46" s="19" t="s">
        <v>41</v>
      </c>
      <c r="C46" s="19" t="s">
        <v>15</v>
      </c>
      <c r="D46" s="67" t="s">
        <v>23</v>
      </c>
      <c r="E46" s="56">
        <f t="shared" si="0"/>
        <v>0</v>
      </c>
      <c r="F46" s="23">
        <v>20</v>
      </c>
      <c r="G46" s="33">
        <v>1</v>
      </c>
      <c r="H46" s="9">
        <f>IF($G$8&gt;=1,1,0)</f>
        <v>0</v>
      </c>
      <c r="I46" s="23"/>
      <c r="J46" s="33"/>
      <c r="K46" s="9"/>
      <c r="L46" s="23"/>
      <c r="M46" s="33"/>
      <c r="N46" s="10"/>
      <c r="O46" s="23"/>
      <c r="P46" s="33"/>
      <c r="Q46" s="9"/>
      <c r="R46" s="23"/>
      <c r="S46" s="33"/>
      <c r="T46" s="10"/>
      <c r="U46" s="23"/>
      <c r="V46" s="33"/>
      <c r="W46" s="10"/>
      <c r="X46" s="30"/>
      <c r="Y46" s="40"/>
      <c r="Z46" s="44"/>
      <c r="AA46" s="30">
        <f>ROUNDUP(IF($G$8&gt;F46,SUM(($G$8-F46)/F46)),0)</f>
        <v>0</v>
      </c>
    </row>
    <row r="47" spans="1:27" x14ac:dyDescent="0.25">
      <c r="A47" s="47" t="s">
        <v>6</v>
      </c>
      <c r="B47" s="19" t="s">
        <v>41</v>
      </c>
      <c r="C47" s="19" t="s">
        <v>15</v>
      </c>
      <c r="D47" s="67" t="s">
        <v>24</v>
      </c>
      <c r="E47" s="56">
        <f t="shared" si="0"/>
        <v>0</v>
      </c>
      <c r="F47" s="23">
        <v>10</v>
      </c>
      <c r="G47" s="33">
        <v>0</v>
      </c>
      <c r="H47" s="9">
        <f>IF($G$8&gt;10,1,0)</f>
        <v>0</v>
      </c>
      <c r="I47" s="23">
        <v>25</v>
      </c>
      <c r="J47" s="33">
        <v>1</v>
      </c>
      <c r="K47" s="9">
        <f>IF($G$8&gt;I47,1,0)</f>
        <v>0</v>
      </c>
      <c r="L47" s="23">
        <v>50</v>
      </c>
      <c r="M47" s="33">
        <v>2</v>
      </c>
      <c r="N47" s="9"/>
      <c r="O47" s="23"/>
      <c r="P47" s="33"/>
      <c r="Q47" s="9"/>
      <c r="R47" s="23"/>
      <c r="S47" s="33"/>
      <c r="T47" s="9"/>
      <c r="U47" s="23"/>
      <c r="V47" s="33"/>
      <c r="W47" s="10"/>
      <c r="X47" s="30"/>
      <c r="Y47" s="40"/>
      <c r="Z47" s="44"/>
      <c r="AA47" s="30">
        <f>ROUNDUP(IF($G$8&gt;L47,SUM(($G$8-L47)/L47)),0)</f>
        <v>0</v>
      </c>
    </row>
    <row r="48" spans="1:27" x14ac:dyDescent="0.25">
      <c r="A48" s="47" t="s">
        <v>6</v>
      </c>
      <c r="B48" s="19" t="s">
        <v>41</v>
      </c>
      <c r="C48" s="19" t="s">
        <v>15</v>
      </c>
      <c r="D48" s="67" t="s">
        <v>60</v>
      </c>
      <c r="E48" s="56">
        <f t="shared" si="0"/>
        <v>0</v>
      </c>
      <c r="F48" s="23">
        <v>30</v>
      </c>
      <c r="G48" s="33">
        <v>1</v>
      </c>
      <c r="H48" s="9">
        <f>IF($G$8&gt;=1,1,0)</f>
        <v>0</v>
      </c>
      <c r="I48" s="23"/>
      <c r="J48" s="33"/>
      <c r="K48" s="9"/>
      <c r="L48" s="23"/>
      <c r="M48" s="33"/>
      <c r="N48" s="9"/>
      <c r="O48" s="23"/>
      <c r="P48" s="33"/>
      <c r="Q48" s="9"/>
      <c r="R48" s="23"/>
      <c r="S48" s="33"/>
      <c r="T48" s="10"/>
      <c r="U48" s="23"/>
      <c r="V48" s="33"/>
      <c r="W48" s="10"/>
      <c r="X48" s="30"/>
      <c r="Y48" s="40"/>
      <c r="Z48" s="44"/>
      <c r="AA48" s="30">
        <f>ROUNDUP(IF($G$8&gt;F48,SUM(($G$8-F48)/F48)),0)</f>
        <v>0</v>
      </c>
    </row>
    <row r="49" spans="1:27" x14ac:dyDescent="0.25">
      <c r="A49" s="47" t="s">
        <v>6</v>
      </c>
      <c r="B49" s="19" t="s">
        <v>41</v>
      </c>
      <c r="C49" s="19" t="s">
        <v>16</v>
      </c>
      <c r="D49" s="67" t="s">
        <v>23</v>
      </c>
      <c r="E49" s="56">
        <f t="shared" si="0"/>
        <v>0</v>
      </c>
      <c r="F49" s="23">
        <v>100</v>
      </c>
      <c r="G49" s="33">
        <v>1</v>
      </c>
      <c r="H49" s="9">
        <f>IF($G$11&gt;=1,1,0)</f>
        <v>0</v>
      </c>
      <c r="I49" s="23">
        <v>300</v>
      </c>
      <c r="J49" s="33">
        <v>2</v>
      </c>
      <c r="K49" s="9">
        <f>IF($G$11&gt;F49,1,0)</f>
        <v>0</v>
      </c>
      <c r="L49" s="23"/>
      <c r="M49" s="33"/>
      <c r="N49" s="9"/>
      <c r="O49" s="23"/>
      <c r="P49" s="33"/>
      <c r="Q49" s="9"/>
      <c r="R49" s="23"/>
      <c r="S49" s="33"/>
      <c r="T49" s="9"/>
      <c r="U49" s="23"/>
      <c r="V49" s="33"/>
      <c r="W49" s="10"/>
      <c r="X49" s="30"/>
      <c r="Y49" s="40"/>
      <c r="Z49" s="44"/>
      <c r="AA49" s="30">
        <f>ROUNDUP(IF($G$11&gt;I49,SUM(($G$11-I49)/200)),0)</f>
        <v>0</v>
      </c>
    </row>
    <row r="50" spans="1:27" x14ac:dyDescent="0.25">
      <c r="A50" s="47" t="s">
        <v>6</v>
      </c>
      <c r="B50" s="19" t="s">
        <v>41</v>
      </c>
      <c r="C50" s="19" t="s">
        <v>16</v>
      </c>
      <c r="D50" s="67" t="s">
        <v>24</v>
      </c>
      <c r="E50" s="56">
        <f t="shared" si="0"/>
        <v>0</v>
      </c>
      <c r="F50" s="23">
        <v>50</v>
      </c>
      <c r="G50" s="33">
        <v>1</v>
      </c>
      <c r="H50" s="9">
        <f>IF($G$11&gt;=1,1,0)</f>
        <v>0</v>
      </c>
      <c r="I50" s="23">
        <v>100</v>
      </c>
      <c r="J50" s="33">
        <v>2</v>
      </c>
      <c r="K50" s="9">
        <f>IF($G$11&gt;F50,1,0)</f>
        <v>0</v>
      </c>
      <c r="L50" s="23">
        <v>150</v>
      </c>
      <c r="M50" s="33">
        <v>3</v>
      </c>
      <c r="N50" s="9">
        <f>IF($G$11&gt;I50,1,0)</f>
        <v>0</v>
      </c>
      <c r="O50" s="23">
        <v>200</v>
      </c>
      <c r="P50" s="33">
        <v>4</v>
      </c>
      <c r="Q50" s="9">
        <f>IF($G$11&gt;L50,1,0)</f>
        <v>0</v>
      </c>
      <c r="R50" s="23">
        <v>250</v>
      </c>
      <c r="S50" s="33">
        <v>5</v>
      </c>
      <c r="T50" s="9">
        <f>IF($G$11&gt;O50,1,0)</f>
        <v>0</v>
      </c>
      <c r="U50" s="23"/>
      <c r="V50" s="33"/>
      <c r="W50" s="10"/>
      <c r="X50" s="30"/>
      <c r="Y50" s="40"/>
      <c r="Z50" s="44"/>
      <c r="AA50" s="30">
        <f>ROUNDUP(IF($G$11&gt;R50,SUM(($G$11-R50)/100)),0)</f>
        <v>0</v>
      </c>
    </row>
    <row r="51" spans="1:27" ht="15.75" thickBot="1" x14ac:dyDescent="0.3">
      <c r="A51" s="47" t="s">
        <v>6</v>
      </c>
      <c r="B51" s="20" t="s">
        <v>41</v>
      </c>
      <c r="C51" s="19" t="s">
        <v>16</v>
      </c>
      <c r="D51" s="68" t="s">
        <v>60</v>
      </c>
      <c r="E51" s="32">
        <f t="shared" si="0"/>
        <v>0</v>
      </c>
      <c r="F51" s="24">
        <v>50</v>
      </c>
      <c r="G51" s="34">
        <v>1</v>
      </c>
      <c r="H51" s="32">
        <f>IF($G$11&gt;=1,1,0)</f>
        <v>0</v>
      </c>
      <c r="I51" s="24">
        <v>200</v>
      </c>
      <c r="J51" s="34">
        <v>2</v>
      </c>
      <c r="K51" s="11">
        <f>IF($G$11&gt;F51,1,0)</f>
        <v>0</v>
      </c>
      <c r="L51" s="24"/>
      <c r="M51" s="34"/>
      <c r="N51" s="11"/>
      <c r="O51" s="24"/>
      <c r="P51" s="34"/>
      <c r="Q51" s="11"/>
      <c r="R51" s="24"/>
      <c r="S51" s="34"/>
      <c r="T51" s="11"/>
      <c r="U51" s="24"/>
      <c r="V51" s="34"/>
      <c r="W51" s="12"/>
      <c r="X51" s="31"/>
      <c r="Y51" s="41"/>
      <c r="Z51" s="45"/>
      <c r="AA51" s="31">
        <f>ROUNDUP(IF($G$11&gt;I51,SUM(($G$11-I51)/I51)),0)</f>
        <v>0</v>
      </c>
    </row>
    <row r="52" spans="1:27" x14ac:dyDescent="0.25">
      <c r="A52" s="21" t="s">
        <v>4</v>
      </c>
      <c r="B52" s="19" t="s">
        <v>42</v>
      </c>
      <c r="C52" s="21" t="s">
        <v>15</v>
      </c>
      <c r="D52" s="69" t="s">
        <v>23</v>
      </c>
      <c r="E52" s="56">
        <f t="shared" si="0"/>
        <v>0</v>
      </c>
      <c r="F52" s="25">
        <v>15</v>
      </c>
      <c r="G52" s="36">
        <v>1</v>
      </c>
      <c r="H52" s="9">
        <f>IF($G$9&gt;=1,1,0)</f>
        <v>0</v>
      </c>
      <c r="I52" s="25"/>
      <c r="J52" s="36"/>
      <c r="K52" s="13"/>
      <c r="L52" s="25"/>
      <c r="M52" s="36"/>
      <c r="N52" s="13"/>
      <c r="O52" s="25"/>
      <c r="P52" s="36"/>
      <c r="Q52" s="13"/>
      <c r="R52" s="25"/>
      <c r="S52" s="36"/>
      <c r="T52" s="13"/>
      <c r="U52" s="25"/>
      <c r="V52" s="36"/>
      <c r="W52" s="14"/>
      <c r="X52" s="29"/>
      <c r="Y52" s="42"/>
      <c r="Z52" s="46"/>
      <c r="AA52" s="30">
        <f>ROUNDUP(IF($G$9&gt;F52,SUM(($G$9-F52)/F52)),0)</f>
        <v>0</v>
      </c>
    </row>
    <row r="53" spans="1:27" x14ac:dyDescent="0.25">
      <c r="A53" s="19" t="s">
        <v>4</v>
      </c>
      <c r="B53" s="19" t="s">
        <v>42</v>
      </c>
      <c r="C53" s="19" t="s">
        <v>15</v>
      </c>
      <c r="D53" s="67" t="s">
        <v>60</v>
      </c>
      <c r="E53" s="56">
        <f t="shared" si="0"/>
        <v>0</v>
      </c>
      <c r="F53" s="23">
        <v>20</v>
      </c>
      <c r="G53" s="33">
        <v>1</v>
      </c>
      <c r="H53" s="9">
        <f>IF($G$9&gt;=1,1,0)</f>
        <v>0</v>
      </c>
      <c r="I53" s="23"/>
      <c r="J53" s="33"/>
      <c r="K53" s="9"/>
      <c r="L53" s="23"/>
      <c r="M53" s="33"/>
      <c r="N53" s="9"/>
      <c r="O53" s="23"/>
      <c r="P53" s="33"/>
      <c r="Q53" s="9"/>
      <c r="R53" s="23"/>
      <c r="S53" s="33"/>
      <c r="T53" s="9"/>
      <c r="U53" s="23"/>
      <c r="V53" s="33"/>
      <c r="W53" s="10"/>
      <c r="X53" s="30"/>
      <c r="Y53" s="40"/>
      <c r="Z53" s="44"/>
      <c r="AA53" s="30">
        <f>ROUNDUP(IF($G$9&gt;F53,SUM(($G$9-F53)/F53)),0)</f>
        <v>0</v>
      </c>
    </row>
    <row r="54" spans="1:27" x14ac:dyDescent="0.25">
      <c r="A54" s="19" t="s">
        <v>4</v>
      </c>
      <c r="B54" s="19" t="s">
        <v>41</v>
      </c>
      <c r="C54" s="19" t="s">
        <v>15</v>
      </c>
      <c r="D54" s="67" t="s">
        <v>23</v>
      </c>
      <c r="E54" s="56">
        <f t="shared" si="0"/>
        <v>0</v>
      </c>
      <c r="F54" s="23">
        <v>20</v>
      </c>
      <c r="G54" s="33">
        <v>1</v>
      </c>
      <c r="H54" s="9">
        <f>IF($G$8&gt;=1,1,0)</f>
        <v>0</v>
      </c>
      <c r="I54" s="23"/>
      <c r="J54" s="33"/>
      <c r="K54" s="9"/>
      <c r="L54" s="23"/>
      <c r="M54" s="33"/>
      <c r="N54" s="9"/>
      <c r="O54" s="23"/>
      <c r="P54" s="33"/>
      <c r="Q54" s="9"/>
      <c r="R54" s="23"/>
      <c r="S54" s="33"/>
      <c r="T54" s="9"/>
      <c r="U54" s="23"/>
      <c r="V54" s="33"/>
      <c r="W54" s="10"/>
      <c r="X54" s="30"/>
      <c r="Y54" s="40"/>
      <c r="Z54" s="44"/>
      <c r="AA54" s="30">
        <f>ROUNDUP(IF($G$8&gt;F54,SUM(($G$8-F54)/F54)),0)</f>
        <v>0</v>
      </c>
    </row>
    <row r="55" spans="1:27" x14ac:dyDescent="0.25">
      <c r="A55" s="19" t="s">
        <v>4</v>
      </c>
      <c r="B55" s="19" t="s">
        <v>41</v>
      </c>
      <c r="C55" s="19" t="s">
        <v>15</v>
      </c>
      <c r="D55" s="67" t="s">
        <v>24</v>
      </c>
      <c r="E55" s="56">
        <f t="shared" si="0"/>
        <v>0</v>
      </c>
      <c r="F55" s="23">
        <v>10</v>
      </c>
      <c r="G55" s="33">
        <v>0</v>
      </c>
      <c r="H55" s="9">
        <f>IF($G$8&gt;10,1,0)</f>
        <v>0</v>
      </c>
      <c r="I55" s="23">
        <v>25</v>
      </c>
      <c r="J55" s="33">
        <v>1</v>
      </c>
      <c r="K55" s="9">
        <f>IF($G$8&gt;I55,1,0)</f>
        <v>0</v>
      </c>
      <c r="L55" s="23">
        <v>50</v>
      </c>
      <c r="M55" s="33">
        <v>2</v>
      </c>
      <c r="N55" s="9"/>
      <c r="O55" s="23"/>
      <c r="P55" s="33"/>
      <c r="Q55" s="9"/>
      <c r="R55" s="23"/>
      <c r="S55" s="33"/>
      <c r="T55" s="9"/>
      <c r="U55" s="23"/>
      <c r="V55" s="33"/>
      <c r="W55" s="10"/>
      <c r="X55" s="30"/>
      <c r="Y55" s="40"/>
      <c r="Z55" s="44"/>
      <c r="AA55" s="30">
        <f>ROUNDUP(IF($G$8&gt;L55,SUM(($G$8-L55)/L55)),0)</f>
        <v>0</v>
      </c>
    </row>
    <row r="56" spans="1:27" ht="15.75" thickBot="1" x14ac:dyDescent="0.3">
      <c r="A56" s="20" t="s">
        <v>4</v>
      </c>
      <c r="B56" s="20" t="s">
        <v>41</v>
      </c>
      <c r="C56" s="20" t="s">
        <v>15</v>
      </c>
      <c r="D56" s="68" t="s">
        <v>60</v>
      </c>
      <c r="E56" s="32">
        <f t="shared" si="0"/>
        <v>0</v>
      </c>
      <c r="F56" s="24">
        <v>20</v>
      </c>
      <c r="G56" s="34">
        <v>1</v>
      </c>
      <c r="H56" s="32">
        <f>IF($G$8&gt;=1,1,0)</f>
        <v>0</v>
      </c>
      <c r="I56" s="24"/>
      <c r="J56" s="34"/>
      <c r="K56" s="11"/>
      <c r="L56" s="24"/>
      <c r="M56" s="34"/>
      <c r="N56" s="11"/>
      <c r="O56" s="24"/>
      <c r="P56" s="34"/>
      <c r="Q56" s="11"/>
      <c r="R56" s="24"/>
      <c r="S56" s="34"/>
      <c r="T56" s="11"/>
      <c r="U56" s="24"/>
      <c r="V56" s="34"/>
      <c r="W56" s="12"/>
      <c r="X56" s="31"/>
      <c r="Y56" s="41"/>
      <c r="Z56" s="45"/>
      <c r="AA56" s="31">
        <f>ROUNDUP(IF($G$8&gt;F56,SUM(($G$8-F56)/F56)),0)</f>
        <v>0</v>
      </c>
    </row>
    <row r="57" spans="1:27" x14ac:dyDescent="0.25">
      <c r="A57" s="48" t="s">
        <v>7</v>
      </c>
      <c r="B57" s="19" t="s">
        <v>42</v>
      </c>
      <c r="C57" s="21" t="s">
        <v>15</v>
      </c>
      <c r="D57" s="69" t="s">
        <v>23</v>
      </c>
      <c r="E57" s="56">
        <f t="shared" si="0"/>
        <v>0</v>
      </c>
      <c r="F57" s="25">
        <v>15</v>
      </c>
      <c r="G57" s="36">
        <v>1</v>
      </c>
      <c r="H57" s="9">
        <f>IF($G$9&gt;=1,1,0)</f>
        <v>0</v>
      </c>
      <c r="I57" s="25"/>
      <c r="J57" s="36"/>
      <c r="K57" s="13"/>
      <c r="L57" s="25"/>
      <c r="M57" s="36"/>
      <c r="N57" s="13"/>
      <c r="O57" s="25"/>
      <c r="P57" s="36"/>
      <c r="Q57" s="13"/>
      <c r="R57" s="25"/>
      <c r="S57" s="36"/>
      <c r="T57" s="13"/>
      <c r="U57" s="25"/>
      <c r="V57" s="36"/>
      <c r="W57" s="14"/>
      <c r="X57" s="29"/>
      <c r="Y57" s="42"/>
      <c r="Z57" s="46"/>
      <c r="AA57" s="30">
        <f>ROUNDUP(IF($G$9&gt;F57,SUM(($G$9-F57)/F57)),0)</f>
        <v>0</v>
      </c>
    </row>
    <row r="58" spans="1:27" x14ac:dyDescent="0.25">
      <c r="A58" s="48" t="s">
        <v>7</v>
      </c>
      <c r="B58" s="19" t="s">
        <v>42</v>
      </c>
      <c r="C58" s="19" t="s">
        <v>15</v>
      </c>
      <c r="D58" s="67" t="s">
        <v>60</v>
      </c>
      <c r="E58" s="56">
        <f t="shared" si="0"/>
        <v>0</v>
      </c>
      <c r="F58" s="23">
        <v>30</v>
      </c>
      <c r="G58" s="33">
        <v>1</v>
      </c>
      <c r="H58" s="9">
        <f>IF($G$9&gt;=1,1,0)</f>
        <v>0</v>
      </c>
      <c r="I58" s="23"/>
      <c r="J58" s="33"/>
      <c r="K58" s="9"/>
      <c r="L58" s="23"/>
      <c r="M58" s="33"/>
      <c r="N58" s="9"/>
      <c r="O58" s="23"/>
      <c r="P58" s="33"/>
      <c r="Q58" s="9"/>
      <c r="R58" s="23"/>
      <c r="S58" s="33"/>
      <c r="T58" s="9"/>
      <c r="U58" s="23"/>
      <c r="V58" s="33"/>
      <c r="W58" s="10"/>
      <c r="X58" s="30"/>
      <c r="Y58" s="40"/>
      <c r="Z58" s="44"/>
      <c r="AA58" s="30">
        <f>ROUNDUP(IF($G$9&gt;F58,SUM(($G$9-F58)/F58)),0)</f>
        <v>0</v>
      </c>
    </row>
    <row r="59" spans="1:27" x14ac:dyDescent="0.25">
      <c r="A59" s="48" t="s">
        <v>7</v>
      </c>
      <c r="B59" s="19" t="s">
        <v>42</v>
      </c>
      <c r="C59" s="19" t="s">
        <v>14</v>
      </c>
      <c r="D59" s="67" t="s">
        <v>23</v>
      </c>
      <c r="E59" s="56">
        <f t="shared" si="0"/>
        <v>0</v>
      </c>
      <c r="F59" s="23">
        <v>16</v>
      </c>
      <c r="G59" s="33">
        <v>2</v>
      </c>
      <c r="H59" s="9">
        <f>IF($G$12&gt;=1,2,0)</f>
        <v>0</v>
      </c>
      <c r="I59" s="23"/>
      <c r="J59" s="33"/>
      <c r="K59" s="9"/>
      <c r="L59" s="23"/>
      <c r="M59" s="33"/>
      <c r="N59" s="9"/>
      <c r="O59" s="23"/>
      <c r="P59" s="33"/>
      <c r="Q59" s="9"/>
      <c r="R59" s="23"/>
      <c r="S59" s="33"/>
      <c r="T59" s="10"/>
      <c r="U59" s="23"/>
      <c r="V59" s="33"/>
      <c r="W59" s="10"/>
      <c r="X59" s="30"/>
      <c r="Y59" s="40"/>
      <c r="Z59" s="44"/>
      <c r="AA59" s="30">
        <f>ROUNDUP(IF($G$12&gt;F59,SUM(($G$12-F59)/8)),0)</f>
        <v>0</v>
      </c>
    </row>
    <row r="60" spans="1:27" x14ac:dyDescent="0.25">
      <c r="A60" s="48" t="s">
        <v>7</v>
      </c>
      <c r="B60" s="19" t="s">
        <v>42</v>
      </c>
      <c r="C60" s="19" t="s">
        <v>14</v>
      </c>
      <c r="D60" s="67" t="s">
        <v>60</v>
      </c>
      <c r="E60" s="56">
        <f t="shared" si="0"/>
        <v>0</v>
      </c>
      <c r="F60" s="23">
        <v>8</v>
      </c>
      <c r="G60" s="33">
        <v>1</v>
      </c>
      <c r="H60" s="9">
        <f>IF($G$12&gt;=1,1,0)</f>
        <v>0</v>
      </c>
      <c r="I60" s="23"/>
      <c r="J60" s="33"/>
      <c r="K60" s="9"/>
      <c r="L60" s="23"/>
      <c r="M60" s="33"/>
      <c r="N60" s="9"/>
      <c r="O60" s="23"/>
      <c r="P60" s="33"/>
      <c r="Q60" s="9"/>
      <c r="R60" s="23"/>
      <c r="S60" s="33"/>
      <c r="T60" s="9"/>
      <c r="U60" s="23"/>
      <c r="V60" s="33"/>
      <c r="W60" s="10"/>
      <c r="X60" s="30"/>
      <c r="Y60" s="40"/>
      <c r="Z60" s="44"/>
      <c r="AA60" s="30">
        <f>ROUNDUP(IF($G$12&gt;F60,SUM(($G$12-F60)/8)),0)</f>
        <v>0</v>
      </c>
    </row>
    <row r="61" spans="1:27" x14ac:dyDescent="0.25">
      <c r="A61" s="48" t="s">
        <v>7</v>
      </c>
      <c r="B61" s="19" t="s">
        <v>41</v>
      </c>
      <c r="C61" s="19" t="s">
        <v>15</v>
      </c>
      <c r="D61" s="67" t="s">
        <v>23</v>
      </c>
      <c r="E61" s="56">
        <f t="shared" si="0"/>
        <v>0</v>
      </c>
      <c r="F61" s="23">
        <v>20</v>
      </c>
      <c r="G61" s="33">
        <v>1</v>
      </c>
      <c r="H61" s="9">
        <f>IF($G$8&gt;=1,1,0)</f>
        <v>0</v>
      </c>
      <c r="I61" s="23"/>
      <c r="J61" s="33"/>
      <c r="K61" s="9"/>
      <c r="L61" s="23"/>
      <c r="M61" s="33"/>
      <c r="N61" s="10"/>
      <c r="O61" s="23"/>
      <c r="P61" s="33"/>
      <c r="Q61" s="9"/>
      <c r="R61" s="23"/>
      <c r="S61" s="33"/>
      <c r="T61" s="10"/>
      <c r="U61" s="23"/>
      <c r="V61" s="33"/>
      <c r="W61" s="10"/>
      <c r="X61" s="30"/>
      <c r="Y61" s="40"/>
      <c r="Z61" s="44"/>
      <c r="AA61" s="30">
        <f>ROUNDUP(IF($G$8&gt;F61,SUM(($G$8-F61)/F61)),0)</f>
        <v>0</v>
      </c>
    </row>
    <row r="62" spans="1:27" x14ac:dyDescent="0.25">
      <c r="A62" s="48" t="s">
        <v>7</v>
      </c>
      <c r="B62" s="19" t="s">
        <v>41</v>
      </c>
      <c r="C62" s="19" t="s">
        <v>15</v>
      </c>
      <c r="D62" s="67" t="s">
        <v>24</v>
      </c>
      <c r="E62" s="56">
        <f t="shared" si="0"/>
        <v>0</v>
      </c>
      <c r="F62" s="23">
        <v>10</v>
      </c>
      <c r="G62" s="33">
        <v>0</v>
      </c>
      <c r="H62" s="9">
        <f>IF($G$8&gt;10,1,0)</f>
        <v>0</v>
      </c>
      <c r="I62" s="23">
        <v>25</v>
      </c>
      <c r="J62" s="33">
        <v>1</v>
      </c>
      <c r="K62" s="9">
        <f>IF($G$8&gt;I62,1,0)</f>
        <v>0</v>
      </c>
      <c r="L62" s="23">
        <v>50</v>
      </c>
      <c r="M62" s="33">
        <v>2</v>
      </c>
      <c r="N62" s="9"/>
      <c r="O62" s="23"/>
      <c r="P62" s="33"/>
      <c r="Q62" s="9"/>
      <c r="R62" s="23"/>
      <c r="S62" s="33"/>
      <c r="T62" s="9"/>
      <c r="U62" s="23"/>
      <c r="V62" s="33"/>
      <c r="W62" s="10"/>
      <c r="X62" s="30"/>
      <c r="Y62" s="40"/>
      <c r="Z62" s="44"/>
      <c r="AA62" s="30">
        <f>ROUNDUP(IF($G$8&gt;L62,SUM(($G$8-L62)/L62)),0)</f>
        <v>0</v>
      </c>
    </row>
    <row r="63" spans="1:27" x14ac:dyDescent="0.25">
      <c r="A63" s="48" t="s">
        <v>7</v>
      </c>
      <c r="B63" s="19" t="s">
        <v>41</v>
      </c>
      <c r="C63" s="19" t="s">
        <v>15</v>
      </c>
      <c r="D63" s="67" t="s">
        <v>60</v>
      </c>
      <c r="E63" s="56">
        <f t="shared" si="0"/>
        <v>0</v>
      </c>
      <c r="F63" s="23">
        <v>30</v>
      </c>
      <c r="G63" s="33">
        <v>1</v>
      </c>
      <c r="H63" s="9">
        <f>IF($G$8&gt;=1,1,0)</f>
        <v>0</v>
      </c>
      <c r="I63" s="23"/>
      <c r="J63" s="33"/>
      <c r="K63" s="9"/>
      <c r="L63" s="23"/>
      <c r="M63" s="33"/>
      <c r="N63" s="9"/>
      <c r="O63" s="23"/>
      <c r="P63" s="33"/>
      <c r="Q63" s="9"/>
      <c r="R63" s="23"/>
      <c r="S63" s="33"/>
      <c r="T63" s="10"/>
      <c r="U63" s="23"/>
      <c r="V63" s="33"/>
      <c r="W63" s="10"/>
      <c r="X63" s="30"/>
      <c r="Y63" s="40"/>
      <c r="Z63" s="44"/>
      <c r="AA63" s="30">
        <f>ROUNDUP(IF($G$8&gt;F63,SUM(($G$8-F63)/F63)),0)</f>
        <v>0</v>
      </c>
    </row>
    <row r="64" spans="1:27" x14ac:dyDescent="0.25">
      <c r="A64" s="48" t="s">
        <v>7</v>
      </c>
      <c r="B64" s="19" t="s">
        <v>41</v>
      </c>
      <c r="C64" s="19" t="s">
        <v>14</v>
      </c>
      <c r="D64" s="67" t="s">
        <v>23</v>
      </c>
      <c r="E64" s="56">
        <f t="shared" si="0"/>
        <v>0</v>
      </c>
      <c r="F64" s="23">
        <v>16</v>
      </c>
      <c r="G64" s="33">
        <v>2</v>
      </c>
      <c r="H64" s="9">
        <f>IF($G$11&gt;=1,2,0)</f>
        <v>0</v>
      </c>
      <c r="I64" s="23"/>
      <c r="J64" s="33"/>
      <c r="K64" s="9"/>
      <c r="L64" s="23"/>
      <c r="M64" s="33"/>
      <c r="N64" s="9"/>
      <c r="O64" s="23"/>
      <c r="P64" s="33"/>
      <c r="Q64" s="9"/>
      <c r="R64" s="23"/>
      <c r="S64" s="33"/>
      <c r="T64" s="10"/>
      <c r="U64" s="23"/>
      <c r="V64" s="33"/>
      <c r="W64" s="10"/>
      <c r="X64" s="30"/>
      <c r="Y64" s="40"/>
      <c r="Z64" s="44"/>
      <c r="AA64" s="30">
        <f>ROUNDUP(IF($G$11&gt;F64,SUM(($G$11-F64)/8)),0)</f>
        <v>0</v>
      </c>
    </row>
    <row r="65" spans="1:27" x14ac:dyDescent="0.25">
      <c r="A65" s="47" t="s">
        <v>7</v>
      </c>
      <c r="B65" s="19" t="s">
        <v>41</v>
      </c>
      <c r="C65" s="19" t="s">
        <v>14</v>
      </c>
      <c r="D65" s="67" t="s">
        <v>60</v>
      </c>
      <c r="E65" s="77">
        <f t="shared" si="0"/>
        <v>0</v>
      </c>
      <c r="F65" s="23">
        <v>8</v>
      </c>
      <c r="G65" s="33">
        <v>1</v>
      </c>
      <c r="H65" s="77">
        <f>IF($G$11&gt;=1,1,0)</f>
        <v>0</v>
      </c>
      <c r="I65" s="23"/>
      <c r="J65" s="33"/>
      <c r="K65" s="9"/>
      <c r="L65" s="23"/>
      <c r="M65" s="33"/>
      <c r="N65" s="9"/>
      <c r="O65" s="23"/>
      <c r="P65" s="33"/>
      <c r="Q65" s="9"/>
      <c r="R65" s="23"/>
      <c r="S65" s="33"/>
      <c r="T65" s="10"/>
      <c r="U65" s="23"/>
      <c r="V65" s="33"/>
      <c r="W65" s="10"/>
      <c r="X65" s="30"/>
      <c r="Y65" s="40"/>
      <c r="Z65" s="44"/>
      <c r="AA65" s="30">
        <f>ROUNDUP(IF($G$11&gt;F65,SUM(($G$11-F65)/F65)),0)</f>
        <v>0</v>
      </c>
    </row>
    <row r="66" spans="1:27" x14ac:dyDescent="0.25">
      <c r="A66" s="47" t="s">
        <v>7</v>
      </c>
      <c r="B66" s="19" t="s">
        <v>41</v>
      </c>
      <c r="C66" s="19" t="s">
        <v>14</v>
      </c>
      <c r="D66" s="67" t="s">
        <v>69</v>
      </c>
      <c r="E66" s="77">
        <f t="shared" ref="E66:E67" si="2">SUM(H66,K66,N66,Q66,T66,W66,Z66,AA66)</f>
        <v>0</v>
      </c>
      <c r="F66" s="23">
        <v>8</v>
      </c>
      <c r="G66" s="33">
        <v>1</v>
      </c>
      <c r="H66" s="77">
        <f t="shared" ref="H66:H67" si="3">IF($G$11&gt;=1,1,0)</f>
        <v>0</v>
      </c>
      <c r="I66" s="23"/>
      <c r="J66" s="33"/>
      <c r="K66" s="9"/>
      <c r="L66" s="23"/>
      <c r="M66" s="33"/>
      <c r="N66" s="9"/>
      <c r="O66" s="23"/>
      <c r="P66" s="33"/>
      <c r="Q66" s="9"/>
      <c r="R66" s="23"/>
      <c r="S66" s="33"/>
      <c r="T66" s="10"/>
      <c r="U66" s="23"/>
      <c r="V66" s="33"/>
      <c r="W66" s="10"/>
      <c r="X66" s="30"/>
      <c r="Y66" s="40"/>
      <c r="Z66" s="44"/>
      <c r="AA66" s="30">
        <f t="shared" ref="AA66:AA67" si="4">ROUNDUP(IF($G$11&gt;F66,SUM(($G$11-F66)/F66)),0)</f>
        <v>0</v>
      </c>
    </row>
    <row r="67" spans="1:27" x14ac:dyDescent="0.25">
      <c r="A67" s="47" t="s">
        <v>7</v>
      </c>
      <c r="B67" s="19" t="s">
        <v>82</v>
      </c>
      <c r="C67" s="19" t="s">
        <v>14</v>
      </c>
      <c r="D67" s="67" t="s">
        <v>69</v>
      </c>
      <c r="E67" s="77">
        <f t="shared" si="2"/>
        <v>0</v>
      </c>
      <c r="F67" s="23">
        <v>8</v>
      </c>
      <c r="G67" s="33">
        <v>1</v>
      </c>
      <c r="H67" s="77">
        <f t="shared" si="3"/>
        <v>0</v>
      </c>
      <c r="I67" s="23"/>
      <c r="J67" s="33"/>
      <c r="K67" s="9"/>
      <c r="L67" s="23"/>
      <c r="M67" s="33"/>
      <c r="N67" s="9"/>
      <c r="O67" s="23"/>
      <c r="P67" s="33"/>
      <c r="Q67" s="9"/>
      <c r="R67" s="23"/>
      <c r="S67" s="33"/>
      <c r="T67" s="10"/>
      <c r="U67" s="23"/>
      <c r="V67" s="33"/>
      <c r="W67" s="10"/>
      <c r="X67" s="30"/>
      <c r="Y67" s="40"/>
      <c r="Z67" s="44"/>
      <c r="AA67" s="30">
        <f t="shared" si="4"/>
        <v>0</v>
      </c>
    </row>
    <row r="68" spans="1:27" ht="15.75" thickBot="1" x14ac:dyDescent="0.3">
      <c r="A68" s="47" t="s">
        <v>7</v>
      </c>
      <c r="B68" s="19" t="s">
        <v>41</v>
      </c>
      <c r="C68" s="19" t="s">
        <v>14</v>
      </c>
      <c r="D68" s="67" t="s">
        <v>70</v>
      </c>
      <c r="E68" s="77" t="s">
        <v>83</v>
      </c>
      <c r="F68" s="24"/>
      <c r="G68" s="34"/>
      <c r="H68" s="32"/>
      <c r="I68" s="23"/>
      <c r="J68" s="33"/>
      <c r="K68" s="9"/>
      <c r="L68" s="23"/>
      <c r="M68" s="33"/>
      <c r="N68" s="9"/>
      <c r="O68" s="23"/>
      <c r="P68" s="33"/>
      <c r="Q68" s="9"/>
      <c r="R68" s="23"/>
      <c r="S68" s="33"/>
      <c r="T68" s="10"/>
      <c r="U68" s="23"/>
      <c r="V68" s="33"/>
      <c r="W68" s="10"/>
      <c r="X68" s="30"/>
      <c r="Y68" s="40"/>
      <c r="Z68" s="44"/>
      <c r="AA68" s="31"/>
    </row>
    <row r="69" spans="1:27" ht="15.75" thickBot="1" x14ac:dyDescent="0.3">
      <c r="A69" s="49" t="s">
        <v>7</v>
      </c>
      <c r="B69" s="20" t="s">
        <v>82</v>
      </c>
      <c r="C69" s="20" t="s">
        <v>14</v>
      </c>
      <c r="D69" s="67" t="s">
        <v>70</v>
      </c>
      <c r="E69" s="32" t="s">
        <v>83</v>
      </c>
      <c r="F69" s="23"/>
      <c r="G69" s="33"/>
      <c r="H69" s="9"/>
      <c r="I69" s="23"/>
      <c r="J69" s="33"/>
      <c r="K69" s="9"/>
      <c r="L69" s="23"/>
      <c r="M69" s="33"/>
      <c r="N69" s="9"/>
      <c r="O69" s="23"/>
      <c r="P69" s="33"/>
      <c r="Q69" s="9"/>
      <c r="R69" s="23"/>
      <c r="S69" s="33"/>
      <c r="T69" s="10"/>
      <c r="U69" s="23"/>
      <c r="V69" s="33"/>
      <c r="W69" s="10"/>
      <c r="X69" s="30"/>
      <c r="Y69" s="40"/>
      <c r="Z69" s="44"/>
      <c r="AA69" s="30"/>
    </row>
    <row r="70" spans="1:27" s="167" customFormat="1" x14ac:dyDescent="0.25">
      <c r="A70" s="48" t="s">
        <v>9</v>
      </c>
      <c r="B70" s="19"/>
      <c r="C70" s="21" t="s">
        <v>17</v>
      </c>
      <c r="D70" s="69" t="s">
        <v>23</v>
      </c>
      <c r="E70" s="56">
        <f t="shared" si="0"/>
        <v>0</v>
      </c>
      <c r="F70" s="25">
        <v>30</v>
      </c>
      <c r="G70" s="36">
        <v>2</v>
      </c>
      <c r="H70" s="9">
        <f>IF($G$11&gt;=1,2,0)</f>
        <v>0</v>
      </c>
      <c r="I70" s="25"/>
      <c r="J70" s="36"/>
      <c r="K70" s="13"/>
      <c r="L70" s="25"/>
      <c r="M70" s="36"/>
      <c r="N70" s="13"/>
      <c r="O70" s="25"/>
      <c r="P70" s="36"/>
      <c r="Q70" s="13"/>
      <c r="R70" s="25"/>
      <c r="S70" s="36"/>
      <c r="T70" s="13"/>
      <c r="U70" s="25"/>
      <c r="V70" s="36"/>
      <c r="W70" s="13"/>
      <c r="X70" s="29"/>
      <c r="Y70" s="42"/>
      <c r="Z70" s="46"/>
      <c r="AA70" s="30">
        <f>ROUNDUP(IF($G$11&gt;F70,SUM(($G$11-F70)/15)),0)</f>
        <v>0</v>
      </c>
    </row>
    <row r="71" spans="1:27" x14ac:dyDescent="0.25">
      <c r="A71" s="48" t="s">
        <v>9</v>
      </c>
      <c r="B71" s="19"/>
      <c r="C71" s="19" t="s">
        <v>17</v>
      </c>
      <c r="D71" s="67" t="s">
        <v>60</v>
      </c>
      <c r="E71" s="56">
        <f t="shared" si="0"/>
        <v>0</v>
      </c>
      <c r="F71" s="23">
        <v>30</v>
      </c>
      <c r="G71" s="33">
        <v>2</v>
      </c>
      <c r="H71" s="9">
        <f>IF($G$11&gt;=1,2,0)</f>
        <v>0</v>
      </c>
      <c r="I71" s="23"/>
      <c r="J71" s="33"/>
      <c r="K71" s="9"/>
      <c r="L71" s="23"/>
      <c r="M71" s="33"/>
      <c r="N71" s="10"/>
      <c r="O71" s="23"/>
      <c r="P71" s="33"/>
      <c r="Q71" s="10"/>
      <c r="R71" s="23"/>
      <c r="S71" s="33"/>
      <c r="T71" s="9"/>
      <c r="U71" s="23"/>
      <c r="V71" s="33"/>
      <c r="W71" s="10"/>
      <c r="X71" s="30"/>
      <c r="Y71" s="40"/>
      <c r="Z71" s="44"/>
      <c r="AA71" s="30">
        <f>ROUNDUP(IF($G$11&gt;F71,SUM(($G$11-F71)/15)),0)</f>
        <v>0</v>
      </c>
    </row>
    <row r="72" spans="1:27" x14ac:dyDescent="0.25">
      <c r="A72" s="48" t="s">
        <v>9</v>
      </c>
      <c r="B72" s="19"/>
      <c r="C72" s="19" t="s">
        <v>17</v>
      </c>
      <c r="D72" s="67" t="s">
        <v>69</v>
      </c>
      <c r="E72" s="56" t="s">
        <v>83</v>
      </c>
      <c r="F72" s="23"/>
      <c r="G72" s="33"/>
      <c r="H72" s="9"/>
      <c r="I72" s="23"/>
      <c r="J72" s="33"/>
      <c r="K72" s="9"/>
      <c r="L72" s="23"/>
      <c r="M72" s="33"/>
      <c r="N72" s="10"/>
      <c r="O72" s="23"/>
      <c r="P72" s="33"/>
      <c r="Q72" s="10"/>
      <c r="R72" s="23"/>
      <c r="S72" s="33"/>
      <c r="T72" s="9"/>
      <c r="U72" s="23"/>
      <c r="V72" s="33"/>
      <c r="W72" s="10"/>
      <c r="X72" s="30"/>
      <c r="Y72" s="40"/>
      <c r="Z72" s="44"/>
      <c r="AA72" s="30"/>
    </row>
    <row r="73" spans="1:27" x14ac:dyDescent="0.25">
      <c r="A73" s="48" t="s">
        <v>9</v>
      </c>
      <c r="B73" s="19"/>
      <c r="C73" s="19" t="s">
        <v>17</v>
      </c>
      <c r="D73" s="67" t="s">
        <v>70</v>
      </c>
      <c r="E73" s="56" t="s">
        <v>83</v>
      </c>
      <c r="F73" s="23"/>
      <c r="G73" s="33"/>
      <c r="H73" s="9"/>
      <c r="I73" s="23"/>
      <c r="J73" s="33"/>
      <c r="K73" s="9"/>
      <c r="L73" s="23"/>
      <c r="M73" s="33"/>
      <c r="N73" s="10"/>
      <c r="O73" s="23"/>
      <c r="P73" s="33"/>
      <c r="Q73" s="10"/>
      <c r="R73" s="23"/>
      <c r="S73" s="33"/>
      <c r="T73" s="9"/>
      <c r="U73" s="23"/>
      <c r="V73" s="33"/>
      <c r="W73" s="10"/>
      <c r="X73" s="30"/>
      <c r="Y73" s="40"/>
      <c r="Z73" s="44"/>
      <c r="AA73" s="30"/>
    </row>
    <row r="74" spans="1:27" x14ac:dyDescent="0.25">
      <c r="A74" s="48" t="s">
        <v>9</v>
      </c>
      <c r="B74" s="19" t="s">
        <v>42</v>
      </c>
      <c r="C74" s="19" t="s">
        <v>15</v>
      </c>
      <c r="D74" s="67" t="s">
        <v>23</v>
      </c>
      <c r="E74" s="56">
        <f t="shared" si="0"/>
        <v>0</v>
      </c>
      <c r="F74" s="23">
        <v>15</v>
      </c>
      <c r="G74" s="33">
        <v>1</v>
      </c>
      <c r="H74" s="9">
        <f>IF($G$9&gt;=1,1,0)</f>
        <v>0</v>
      </c>
      <c r="I74" s="23"/>
      <c r="J74" s="33"/>
      <c r="K74" s="9"/>
      <c r="L74" s="23"/>
      <c r="M74" s="33"/>
      <c r="N74" s="9"/>
      <c r="O74" s="23"/>
      <c r="P74" s="33"/>
      <c r="Q74" s="9"/>
      <c r="R74" s="23"/>
      <c r="S74" s="33"/>
      <c r="T74" s="9"/>
      <c r="U74" s="23"/>
      <c r="V74" s="33"/>
      <c r="W74" s="10"/>
      <c r="X74" s="30"/>
      <c r="Y74" s="40"/>
      <c r="Z74" s="44"/>
      <c r="AA74" s="30">
        <f>ROUNDUP(IF($G$9&gt;F74,SUM(($G$9-F74)/F74)),0)</f>
        <v>0</v>
      </c>
    </row>
    <row r="75" spans="1:27" x14ac:dyDescent="0.25">
      <c r="A75" s="48" t="s">
        <v>9</v>
      </c>
      <c r="B75" s="19" t="s">
        <v>42</v>
      </c>
      <c r="C75" s="19" t="s">
        <v>15</v>
      </c>
      <c r="D75" s="67" t="s">
        <v>60</v>
      </c>
      <c r="E75" s="56">
        <f t="shared" si="0"/>
        <v>0</v>
      </c>
      <c r="F75" s="23">
        <v>30</v>
      </c>
      <c r="G75" s="33">
        <v>1</v>
      </c>
      <c r="H75" s="9">
        <f>IF($G$9&gt;=1,1,0)</f>
        <v>0</v>
      </c>
      <c r="I75" s="23"/>
      <c r="J75" s="33"/>
      <c r="K75" s="9"/>
      <c r="L75" s="23"/>
      <c r="M75" s="33"/>
      <c r="N75" s="9"/>
      <c r="O75" s="23"/>
      <c r="P75" s="33"/>
      <c r="Q75" s="9"/>
      <c r="R75" s="23"/>
      <c r="S75" s="33"/>
      <c r="T75" s="9"/>
      <c r="U75" s="23"/>
      <c r="V75" s="33"/>
      <c r="W75" s="10"/>
      <c r="X75" s="30"/>
      <c r="Y75" s="40"/>
      <c r="Z75" s="44"/>
      <c r="AA75" s="30">
        <f>ROUNDUP(IF($G$9&gt;F75,SUM(($G$9-F75)/F75)),0)</f>
        <v>0</v>
      </c>
    </row>
    <row r="76" spans="1:27" x14ac:dyDescent="0.25">
      <c r="A76" s="48" t="s">
        <v>9</v>
      </c>
      <c r="B76" s="19" t="s">
        <v>41</v>
      </c>
      <c r="C76" s="19" t="s">
        <v>15</v>
      </c>
      <c r="D76" s="67" t="s">
        <v>23</v>
      </c>
      <c r="E76" s="56">
        <f t="shared" si="0"/>
        <v>0</v>
      </c>
      <c r="F76" s="23">
        <v>20</v>
      </c>
      <c r="G76" s="33">
        <v>1</v>
      </c>
      <c r="H76" s="9">
        <f>IF($G$8&gt;=1,1,0)</f>
        <v>0</v>
      </c>
      <c r="I76" s="23"/>
      <c r="J76" s="33"/>
      <c r="K76" s="9"/>
      <c r="L76" s="23"/>
      <c r="M76" s="33"/>
      <c r="N76" s="10"/>
      <c r="O76" s="23"/>
      <c r="P76" s="33"/>
      <c r="Q76" s="9"/>
      <c r="R76" s="23"/>
      <c r="S76" s="33"/>
      <c r="T76" s="10"/>
      <c r="U76" s="23"/>
      <c r="V76" s="33"/>
      <c r="W76" s="10"/>
      <c r="X76" s="30"/>
      <c r="Y76" s="40"/>
      <c r="Z76" s="44"/>
      <c r="AA76" s="30">
        <f>ROUNDUP(IF($G$8&gt;F76,SUM(($G$8-F76)/F76)),0)</f>
        <v>0</v>
      </c>
    </row>
    <row r="77" spans="1:27" x14ac:dyDescent="0.25">
      <c r="A77" s="48" t="s">
        <v>9</v>
      </c>
      <c r="B77" s="19" t="s">
        <v>41</v>
      </c>
      <c r="C77" s="19" t="s">
        <v>15</v>
      </c>
      <c r="D77" s="67" t="s">
        <v>24</v>
      </c>
      <c r="E77" s="56">
        <f t="shared" si="0"/>
        <v>0</v>
      </c>
      <c r="F77" s="23">
        <v>10</v>
      </c>
      <c r="G77" s="33">
        <v>0</v>
      </c>
      <c r="H77" s="9">
        <f>IF($G$8&gt;10,1,0)</f>
        <v>0</v>
      </c>
      <c r="I77" s="23">
        <v>25</v>
      </c>
      <c r="J77" s="33">
        <v>1</v>
      </c>
      <c r="K77" s="9">
        <f>IF($G$8&gt;I77,1,0)</f>
        <v>0</v>
      </c>
      <c r="L77" s="23">
        <v>50</v>
      </c>
      <c r="M77" s="33">
        <v>2</v>
      </c>
      <c r="N77" s="9"/>
      <c r="O77" s="23"/>
      <c r="P77" s="33"/>
      <c r="Q77" s="9"/>
      <c r="R77" s="23"/>
      <c r="S77" s="33"/>
      <c r="T77" s="9"/>
      <c r="U77" s="23"/>
      <c r="V77" s="33"/>
      <c r="W77" s="10"/>
      <c r="X77" s="30"/>
      <c r="Y77" s="40"/>
      <c r="Z77" s="44"/>
      <c r="AA77" s="30">
        <f>ROUNDUP(IF($G$8&gt;L77,SUM(($G$8-L77)/L77)),0)</f>
        <v>0</v>
      </c>
    </row>
    <row r="78" spans="1:27" ht="15.75" thickBot="1" x14ac:dyDescent="0.3">
      <c r="A78" s="49" t="s">
        <v>9</v>
      </c>
      <c r="B78" s="20" t="s">
        <v>41</v>
      </c>
      <c r="C78" s="20" t="s">
        <v>15</v>
      </c>
      <c r="D78" s="68" t="s">
        <v>60</v>
      </c>
      <c r="E78" s="32">
        <f t="shared" si="0"/>
        <v>0</v>
      </c>
      <c r="F78" s="24">
        <v>30</v>
      </c>
      <c r="G78" s="34">
        <v>1</v>
      </c>
      <c r="H78" s="32">
        <f>IF($G$8&gt;=1,1,0)</f>
        <v>0</v>
      </c>
      <c r="I78" s="24"/>
      <c r="J78" s="34"/>
      <c r="K78" s="11"/>
      <c r="L78" s="24"/>
      <c r="M78" s="34"/>
      <c r="N78" s="11"/>
      <c r="O78" s="24"/>
      <c r="P78" s="34"/>
      <c r="Q78" s="11"/>
      <c r="R78" s="24"/>
      <c r="S78" s="34"/>
      <c r="T78" s="12"/>
      <c r="U78" s="24"/>
      <c r="V78" s="34"/>
      <c r="W78" s="12"/>
      <c r="X78" s="31"/>
      <c r="Y78" s="41"/>
      <c r="Z78" s="45"/>
      <c r="AA78" s="31">
        <f>ROUNDUP(IF($G$8&gt;F78,SUM(($G$8-F78)/F78)),0)</f>
        <v>0</v>
      </c>
    </row>
    <row r="79" spans="1:27" x14ac:dyDescent="0.25">
      <c r="A79" s="48" t="s">
        <v>12</v>
      </c>
      <c r="B79" s="19" t="s">
        <v>42</v>
      </c>
      <c r="C79" s="21" t="s">
        <v>15</v>
      </c>
      <c r="D79" s="69" t="s">
        <v>23</v>
      </c>
      <c r="E79" s="56">
        <f t="shared" si="0"/>
        <v>0</v>
      </c>
      <c r="F79" s="25">
        <v>15</v>
      </c>
      <c r="G79" s="36">
        <v>1</v>
      </c>
      <c r="H79" s="9">
        <f>IF($G$9&gt;=1,1,0)</f>
        <v>0</v>
      </c>
      <c r="I79" s="25"/>
      <c r="J79" s="36"/>
      <c r="K79" s="13"/>
      <c r="L79" s="25"/>
      <c r="M79" s="36"/>
      <c r="N79" s="13"/>
      <c r="O79" s="25"/>
      <c r="P79" s="36"/>
      <c r="Q79" s="13"/>
      <c r="R79" s="25"/>
      <c r="S79" s="36"/>
      <c r="T79" s="13"/>
      <c r="U79" s="25"/>
      <c r="V79" s="36"/>
      <c r="W79" s="14"/>
      <c r="X79" s="29"/>
      <c r="Y79" s="42"/>
      <c r="Z79" s="46"/>
      <c r="AA79" s="30">
        <f>ROUNDUP(IF($G$9&gt;F79,SUM(($G$9-F79)/F79)),0)</f>
        <v>0</v>
      </c>
    </row>
    <row r="80" spans="1:27" x14ac:dyDescent="0.25">
      <c r="A80" s="48" t="s">
        <v>12</v>
      </c>
      <c r="B80" s="19" t="s">
        <v>42</v>
      </c>
      <c r="C80" s="19" t="s">
        <v>15</v>
      </c>
      <c r="D80" s="67" t="s">
        <v>60</v>
      </c>
      <c r="E80" s="56">
        <f t="shared" si="0"/>
        <v>0</v>
      </c>
      <c r="F80" s="23">
        <v>30</v>
      </c>
      <c r="G80" s="33">
        <v>1</v>
      </c>
      <c r="H80" s="9">
        <f>IF($G$9&gt;=1,1,0)</f>
        <v>0</v>
      </c>
      <c r="I80" s="23"/>
      <c r="J80" s="33"/>
      <c r="K80" s="9"/>
      <c r="L80" s="23"/>
      <c r="M80" s="33"/>
      <c r="N80" s="9"/>
      <c r="O80" s="23"/>
      <c r="P80" s="33"/>
      <c r="Q80" s="10"/>
      <c r="R80" s="23"/>
      <c r="S80" s="33"/>
      <c r="T80" s="9"/>
      <c r="U80" s="23"/>
      <c r="V80" s="33"/>
      <c r="W80" s="10"/>
      <c r="X80" s="30"/>
      <c r="Y80" s="40"/>
      <c r="Z80" s="44"/>
      <c r="AA80" s="30">
        <f>ROUNDUP(IF($G$9&gt;F80,SUM(($G$9-F80)/F80)),0)</f>
        <v>0</v>
      </c>
    </row>
    <row r="81" spans="1:27" x14ac:dyDescent="0.25">
      <c r="A81" s="48" t="s">
        <v>12</v>
      </c>
      <c r="B81" s="19" t="s">
        <v>42</v>
      </c>
      <c r="C81" s="19" t="s">
        <v>16</v>
      </c>
      <c r="D81" s="67" t="s">
        <v>23</v>
      </c>
      <c r="E81" s="56">
        <f t="shared" si="0"/>
        <v>0</v>
      </c>
      <c r="F81" s="23">
        <v>150</v>
      </c>
      <c r="G81" s="33">
        <v>1</v>
      </c>
      <c r="H81" s="9">
        <f>IF($G$12&gt;=1,1,0)</f>
        <v>0</v>
      </c>
      <c r="I81" s="23"/>
      <c r="J81" s="33"/>
      <c r="K81" s="9"/>
      <c r="L81" s="23"/>
      <c r="M81" s="33"/>
      <c r="N81" s="10"/>
      <c r="O81" s="23"/>
      <c r="P81" s="33"/>
      <c r="Q81" s="10"/>
      <c r="R81" s="23"/>
      <c r="S81" s="33"/>
      <c r="T81" s="9"/>
      <c r="U81" s="23"/>
      <c r="V81" s="33"/>
      <c r="W81" s="10"/>
      <c r="X81" s="30"/>
      <c r="Y81" s="40"/>
      <c r="Z81" s="44"/>
      <c r="AA81" s="30">
        <f>ROUNDUP(IF($G$12&gt;F81,SUM(($G$12-F81)/F81)),0)</f>
        <v>0</v>
      </c>
    </row>
    <row r="82" spans="1:27" x14ac:dyDescent="0.25">
      <c r="A82" s="48" t="s">
        <v>12</v>
      </c>
      <c r="B82" s="19" t="s">
        <v>42</v>
      </c>
      <c r="C82" s="19" t="s">
        <v>16</v>
      </c>
      <c r="D82" s="67" t="s">
        <v>60</v>
      </c>
      <c r="E82" s="56">
        <f t="shared" si="0"/>
        <v>0</v>
      </c>
      <c r="F82" s="23">
        <v>250</v>
      </c>
      <c r="G82" s="33">
        <v>1</v>
      </c>
      <c r="H82" s="9">
        <f>IF($G$12&gt;=1,1,0)</f>
        <v>0</v>
      </c>
      <c r="I82" s="23"/>
      <c r="J82" s="33"/>
      <c r="K82" s="9"/>
      <c r="L82" s="23"/>
      <c r="M82" s="33"/>
      <c r="N82" s="10"/>
      <c r="O82" s="23"/>
      <c r="P82" s="33"/>
      <c r="Q82" s="10"/>
      <c r="R82" s="23"/>
      <c r="S82" s="33"/>
      <c r="T82" s="9"/>
      <c r="U82" s="23"/>
      <c r="V82" s="33"/>
      <c r="W82" s="10"/>
      <c r="X82" s="30"/>
      <c r="Y82" s="40"/>
      <c r="Z82" s="44"/>
      <c r="AA82" s="30">
        <f>ROUNDUP(IF($G$12&gt;F82,SUM(($G$12-F82)/F82)),0)</f>
        <v>0</v>
      </c>
    </row>
    <row r="83" spans="1:27" x14ac:dyDescent="0.25">
      <c r="A83" s="48" t="s">
        <v>12</v>
      </c>
      <c r="B83" s="19" t="s">
        <v>41</v>
      </c>
      <c r="C83" s="19" t="s">
        <v>15</v>
      </c>
      <c r="D83" s="67" t="s">
        <v>23</v>
      </c>
      <c r="E83" s="56">
        <f t="shared" si="0"/>
        <v>0</v>
      </c>
      <c r="F83" s="23">
        <v>20</v>
      </c>
      <c r="G83" s="33">
        <v>1</v>
      </c>
      <c r="H83" s="9">
        <f>IF($G$8&gt;=1,1,0)</f>
        <v>0</v>
      </c>
      <c r="I83" s="23"/>
      <c r="J83" s="33"/>
      <c r="K83" s="9"/>
      <c r="L83" s="23"/>
      <c r="M83" s="33"/>
      <c r="N83" s="10"/>
      <c r="O83" s="23"/>
      <c r="P83" s="33"/>
      <c r="Q83" s="9"/>
      <c r="R83" s="23"/>
      <c r="S83" s="33"/>
      <c r="T83" s="10"/>
      <c r="U83" s="23"/>
      <c r="V83" s="33"/>
      <c r="W83" s="10"/>
      <c r="X83" s="30"/>
      <c r="Y83" s="40"/>
      <c r="Z83" s="44"/>
      <c r="AA83" s="30">
        <f>ROUNDUP(IF($G$8&gt;F83,SUM(($G$8-F83)/F83)),0)</f>
        <v>0</v>
      </c>
    </row>
    <row r="84" spans="1:27" x14ac:dyDescent="0.25">
      <c r="A84" s="48" t="s">
        <v>12</v>
      </c>
      <c r="B84" s="19" t="s">
        <v>41</v>
      </c>
      <c r="C84" s="19" t="s">
        <v>15</v>
      </c>
      <c r="D84" s="67" t="s">
        <v>24</v>
      </c>
      <c r="E84" s="56">
        <f t="shared" si="0"/>
        <v>0</v>
      </c>
      <c r="F84" s="23">
        <v>10</v>
      </c>
      <c r="G84" s="33">
        <v>0</v>
      </c>
      <c r="H84" s="9">
        <f>IF($G$8&gt;10,1,0)</f>
        <v>0</v>
      </c>
      <c r="I84" s="23">
        <v>25</v>
      </c>
      <c r="J84" s="33">
        <v>1</v>
      </c>
      <c r="K84" s="9">
        <f>IF($G$8&gt;I84,1,0)</f>
        <v>0</v>
      </c>
      <c r="L84" s="23">
        <v>50</v>
      </c>
      <c r="M84" s="33">
        <v>2</v>
      </c>
      <c r="N84" s="9"/>
      <c r="O84" s="23"/>
      <c r="P84" s="33"/>
      <c r="Q84" s="9"/>
      <c r="R84" s="23"/>
      <c r="S84" s="33"/>
      <c r="T84" s="9"/>
      <c r="U84" s="23"/>
      <c r="V84" s="33"/>
      <c r="W84" s="10"/>
      <c r="X84" s="30"/>
      <c r="Y84" s="40"/>
      <c r="Z84" s="44"/>
      <c r="AA84" s="30">
        <f>ROUNDUP(IF($G$8&gt;L84,SUM(($G$8-L84)/L84)),0)</f>
        <v>0</v>
      </c>
    </row>
    <row r="85" spans="1:27" x14ac:dyDescent="0.25">
      <c r="A85" s="48" t="s">
        <v>12</v>
      </c>
      <c r="B85" s="19" t="s">
        <v>41</v>
      </c>
      <c r="C85" s="19" t="s">
        <v>15</v>
      </c>
      <c r="D85" s="67" t="s">
        <v>60</v>
      </c>
      <c r="E85" s="56">
        <f t="shared" si="0"/>
        <v>0</v>
      </c>
      <c r="F85" s="23">
        <v>30</v>
      </c>
      <c r="G85" s="33">
        <v>1</v>
      </c>
      <c r="H85" s="9">
        <f>IF($G$8&gt;=1,1,0)</f>
        <v>0</v>
      </c>
      <c r="I85" s="23"/>
      <c r="J85" s="33"/>
      <c r="K85" s="9"/>
      <c r="L85" s="23"/>
      <c r="M85" s="33"/>
      <c r="N85" s="9"/>
      <c r="O85" s="23"/>
      <c r="P85" s="33"/>
      <c r="Q85" s="9"/>
      <c r="R85" s="23"/>
      <c r="S85" s="33"/>
      <c r="T85" s="10"/>
      <c r="U85" s="23"/>
      <c r="V85" s="33"/>
      <c r="W85" s="10"/>
      <c r="X85" s="30"/>
      <c r="Y85" s="40"/>
      <c r="Z85" s="44"/>
      <c r="AA85" s="30">
        <f>ROUNDUP(IF($G$8&gt;F85,SUM(($G$8-F85)/F85)),0)</f>
        <v>0</v>
      </c>
    </row>
    <row r="86" spans="1:27" x14ac:dyDescent="0.25">
      <c r="A86" s="48" t="s">
        <v>12</v>
      </c>
      <c r="B86" s="19" t="s">
        <v>41</v>
      </c>
      <c r="C86" s="19" t="s">
        <v>16</v>
      </c>
      <c r="D86" s="67" t="s">
        <v>23</v>
      </c>
      <c r="E86" s="56">
        <f t="shared" si="0"/>
        <v>0</v>
      </c>
      <c r="F86" s="23">
        <v>300</v>
      </c>
      <c r="G86" s="33">
        <v>1</v>
      </c>
      <c r="H86" s="9">
        <f>IF($G$11&gt;=1,1,0)</f>
        <v>0</v>
      </c>
      <c r="I86" s="23"/>
      <c r="J86" s="33"/>
      <c r="K86" s="9"/>
      <c r="L86" s="23"/>
      <c r="M86" s="33"/>
      <c r="N86" s="10"/>
      <c r="O86" s="23"/>
      <c r="P86" s="33"/>
      <c r="Q86" s="10"/>
      <c r="R86" s="23"/>
      <c r="S86" s="33"/>
      <c r="T86" s="9"/>
      <c r="U86" s="23"/>
      <c r="V86" s="33"/>
      <c r="W86" s="10"/>
      <c r="X86" s="30"/>
      <c r="Y86" s="40"/>
      <c r="Z86" s="44"/>
      <c r="AA86" s="30">
        <f>ROUNDUP(IF($G$11&gt;F86,SUM(($G$11-F86)/500)),0)</f>
        <v>0</v>
      </c>
    </row>
    <row r="87" spans="1:27" x14ac:dyDescent="0.25">
      <c r="A87" s="48" t="s">
        <v>12</v>
      </c>
      <c r="B87" s="19" t="s">
        <v>41</v>
      </c>
      <c r="C87" s="19" t="s">
        <v>16</v>
      </c>
      <c r="D87" s="67" t="s">
        <v>24</v>
      </c>
      <c r="E87" s="56">
        <f t="shared" si="0"/>
        <v>0</v>
      </c>
      <c r="F87" s="23">
        <v>200</v>
      </c>
      <c r="G87" s="33">
        <v>1</v>
      </c>
      <c r="H87" s="9">
        <f>IF($G$11&gt;=1,1,0)</f>
        <v>0</v>
      </c>
      <c r="I87" s="23"/>
      <c r="J87" s="33"/>
      <c r="K87" s="9"/>
      <c r="L87" s="23"/>
      <c r="M87" s="33"/>
      <c r="N87" s="10"/>
      <c r="O87" s="23"/>
      <c r="P87" s="33"/>
      <c r="Q87" s="10"/>
      <c r="R87" s="23"/>
      <c r="S87" s="33"/>
      <c r="T87" s="9"/>
      <c r="U87" s="23"/>
      <c r="V87" s="33"/>
      <c r="W87" s="10"/>
      <c r="X87" s="30"/>
      <c r="Y87" s="40"/>
      <c r="Z87" s="44"/>
      <c r="AA87" s="30">
        <f>ROUNDUP(IF($G$11&gt;F87,SUM(($G$11-F87)/F87)),0)</f>
        <v>0</v>
      </c>
    </row>
    <row r="88" spans="1:27" ht="15.75" thickBot="1" x14ac:dyDescent="0.3">
      <c r="A88" s="49" t="s">
        <v>12</v>
      </c>
      <c r="B88" s="20" t="s">
        <v>41</v>
      </c>
      <c r="C88" s="20" t="s">
        <v>16</v>
      </c>
      <c r="D88" s="68" t="s">
        <v>60</v>
      </c>
      <c r="E88" s="32">
        <f t="shared" si="0"/>
        <v>0</v>
      </c>
      <c r="F88" s="24">
        <v>250</v>
      </c>
      <c r="G88" s="34">
        <v>1</v>
      </c>
      <c r="H88" s="32">
        <f>IF($G$11&gt;=1,1,0)</f>
        <v>0</v>
      </c>
      <c r="I88" s="24"/>
      <c r="J88" s="34"/>
      <c r="K88" s="11"/>
      <c r="L88" s="24"/>
      <c r="M88" s="34"/>
      <c r="N88" s="12"/>
      <c r="O88" s="24"/>
      <c r="P88" s="34"/>
      <c r="Q88" s="12"/>
      <c r="R88" s="24"/>
      <c r="S88" s="34"/>
      <c r="T88" s="11"/>
      <c r="U88" s="24"/>
      <c r="V88" s="34"/>
      <c r="W88" s="12"/>
      <c r="X88" s="31"/>
      <c r="Y88" s="41"/>
      <c r="Z88" s="45"/>
      <c r="AA88" s="30">
        <f>ROUNDUP(IF($G$11&gt;F88,SUM(($G$11-F88)/F88)),0)</f>
        <v>0</v>
      </c>
    </row>
    <row r="89" spans="1:27" x14ac:dyDescent="0.25">
      <c r="A89" s="50" t="s">
        <v>10</v>
      </c>
      <c r="B89" s="19" t="s">
        <v>42</v>
      </c>
      <c r="C89" s="21" t="s">
        <v>15</v>
      </c>
      <c r="D89" s="69" t="s">
        <v>23</v>
      </c>
      <c r="E89" s="56">
        <f t="shared" si="0"/>
        <v>0</v>
      </c>
      <c r="F89" s="25">
        <v>15</v>
      </c>
      <c r="G89" s="36">
        <v>1</v>
      </c>
      <c r="H89" s="9">
        <f>IF($G$9&gt;=1,1,0)</f>
        <v>0</v>
      </c>
      <c r="I89" s="25"/>
      <c r="J89" s="36"/>
      <c r="K89" s="13"/>
      <c r="L89" s="25"/>
      <c r="M89" s="36"/>
      <c r="N89" s="13"/>
      <c r="O89" s="25"/>
      <c r="P89" s="36"/>
      <c r="Q89" s="13"/>
      <c r="R89" s="25"/>
      <c r="S89" s="36"/>
      <c r="T89" s="13"/>
      <c r="U89" s="25"/>
      <c r="V89" s="36"/>
      <c r="W89" s="14"/>
      <c r="X89" s="29"/>
      <c r="Y89" s="42"/>
      <c r="Z89" s="46"/>
      <c r="AA89" s="29">
        <f>ROUNDUP(IF($G$9&gt;F89,SUM(($G$9-F89)/F89)),0)</f>
        <v>0</v>
      </c>
    </row>
    <row r="90" spans="1:27" x14ac:dyDescent="0.25">
      <c r="A90" s="50" t="s">
        <v>10</v>
      </c>
      <c r="B90" s="19" t="s">
        <v>42</v>
      </c>
      <c r="C90" s="19" t="s">
        <v>15</v>
      </c>
      <c r="D90" s="67" t="s">
        <v>60</v>
      </c>
      <c r="E90" s="56">
        <f t="shared" si="0"/>
        <v>0</v>
      </c>
      <c r="F90" s="23">
        <v>30</v>
      </c>
      <c r="G90" s="33">
        <v>1</v>
      </c>
      <c r="H90" s="9">
        <f>IF($G$9&gt;=1,1,0)</f>
        <v>0</v>
      </c>
      <c r="I90" s="23"/>
      <c r="J90" s="33"/>
      <c r="K90" s="9"/>
      <c r="L90" s="23"/>
      <c r="M90" s="33"/>
      <c r="N90" s="9"/>
      <c r="O90" s="23"/>
      <c r="P90" s="33"/>
      <c r="Q90" s="10"/>
      <c r="R90" s="23"/>
      <c r="S90" s="33"/>
      <c r="T90" s="9"/>
      <c r="U90" s="23"/>
      <c r="V90" s="33"/>
      <c r="W90" s="10"/>
      <c r="X90" s="30"/>
      <c r="Y90" s="40"/>
      <c r="Z90" s="44"/>
      <c r="AA90" s="30">
        <f>ROUNDUP(IF($G$9&gt;F90,SUM(($G$9-F90)/F90)),0)</f>
        <v>0</v>
      </c>
    </row>
    <row r="91" spans="1:27" x14ac:dyDescent="0.25">
      <c r="A91" s="50" t="s">
        <v>10</v>
      </c>
      <c r="B91" s="19" t="s">
        <v>42</v>
      </c>
      <c r="C91" s="19" t="s">
        <v>20</v>
      </c>
      <c r="D91" s="67" t="s">
        <v>23</v>
      </c>
      <c r="E91" s="56">
        <f t="shared" si="0"/>
        <v>0</v>
      </c>
      <c r="F91" s="23">
        <v>10</v>
      </c>
      <c r="G91" s="33">
        <v>1</v>
      </c>
      <c r="H91" s="9">
        <f>IF($G$15&gt;=1,1,0)</f>
        <v>0</v>
      </c>
      <c r="I91" s="23"/>
      <c r="J91" s="33"/>
      <c r="K91" s="9"/>
      <c r="L91" s="23"/>
      <c r="M91" s="33"/>
      <c r="N91" s="10"/>
      <c r="O91" s="23"/>
      <c r="P91" s="33"/>
      <c r="Q91" s="10"/>
      <c r="R91" s="23"/>
      <c r="S91" s="33"/>
      <c r="T91" s="9"/>
      <c r="U91" s="23"/>
      <c r="V91" s="33"/>
      <c r="W91" s="10"/>
      <c r="X91" s="30"/>
      <c r="Y91" s="40"/>
      <c r="Z91" s="44"/>
      <c r="AA91" s="30">
        <f>ROUNDUP(IF($G$15&gt;F91,SUM(($G$15-F91)/F91)),0)</f>
        <v>0</v>
      </c>
    </row>
    <row r="92" spans="1:27" x14ac:dyDescent="0.25">
      <c r="A92" s="50" t="s">
        <v>10</v>
      </c>
      <c r="B92" s="19" t="s">
        <v>42</v>
      </c>
      <c r="C92" s="19" t="s">
        <v>20</v>
      </c>
      <c r="D92" s="67" t="s">
        <v>60</v>
      </c>
      <c r="E92" s="56">
        <f t="shared" si="0"/>
        <v>0</v>
      </c>
      <c r="F92" s="23">
        <v>10</v>
      </c>
      <c r="G92" s="33">
        <v>1</v>
      </c>
      <c r="H92" s="9">
        <f>IF($G$15&gt;=1,1,0)</f>
        <v>0</v>
      </c>
      <c r="I92" s="23"/>
      <c r="J92" s="33"/>
      <c r="K92" s="9"/>
      <c r="L92" s="23"/>
      <c r="M92" s="33"/>
      <c r="N92" s="10"/>
      <c r="O92" s="23"/>
      <c r="P92" s="33"/>
      <c r="Q92" s="10"/>
      <c r="R92" s="23"/>
      <c r="S92" s="33"/>
      <c r="T92" s="9"/>
      <c r="U92" s="23"/>
      <c r="V92" s="33"/>
      <c r="W92" s="10"/>
      <c r="X92" s="30"/>
      <c r="Y92" s="40"/>
      <c r="Z92" s="44"/>
      <c r="AA92" s="30">
        <f>ROUNDUP(IF($G$15&gt;F92,SUM(($G$15-F92)/F92)),0)</f>
        <v>0</v>
      </c>
    </row>
    <row r="93" spans="1:27" x14ac:dyDescent="0.25">
      <c r="A93" s="50" t="s">
        <v>10</v>
      </c>
      <c r="B93" s="19" t="s">
        <v>42</v>
      </c>
      <c r="C93" s="19" t="s">
        <v>21</v>
      </c>
      <c r="D93" s="67" t="s">
        <v>23</v>
      </c>
      <c r="E93" s="56">
        <f t="shared" si="0"/>
        <v>0</v>
      </c>
      <c r="F93" s="23">
        <v>10</v>
      </c>
      <c r="G93" s="33">
        <v>1</v>
      </c>
      <c r="H93" s="9">
        <f>IF($G$12&gt;=1,1,0)</f>
        <v>0</v>
      </c>
      <c r="I93" s="23">
        <v>50</v>
      </c>
      <c r="J93" s="33">
        <v>2</v>
      </c>
      <c r="K93" s="9">
        <f>IF($G$12&gt;F93,1,0)</f>
        <v>0</v>
      </c>
      <c r="L93" s="23"/>
      <c r="M93" s="33"/>
      <c r="N93" s="9"/>
      <c r="O93" s="23"/>
      <c r="P93" s="33"/>
      <c r="Q93" s="10"/>
      <c r="R93" s="23"/>
      <c r="S93" s="33"/>
      <c r="T93" s="9"/>
      <c r="U93" s="23"/>
      <c r="V93" s="33"/>
      <c r="W93" s="10"/>
      <c r="X93" s="30"/>
      <c r="Y93" s="40"/>
      <c r="Z93" s="44"/>
      <c r="AA93" s="30">
        <f>ROUNDUP(IF($G$12&gt;I93,SUM(($G$12-I93)/60)),0)</f>
        <v>0</v>
      </c>
    </row>
    <row r="94" spans="1:27" x14ac:dyDescent="0.25">
      <c r="A94" s="50" t="s">
        <v>10</v>
      </c>
      <c r="B94" s="19" t="s">
        <v>42</v>
      </c>
      <c r="C94" s="19" t="s">
        <v>21</v>
      </c>
      <c r="D94" s="67" t="s">
        <v>60</v>
      </c>
      <c r="E94" s="56">
        <f t="shared" si="0"/>
        <v>0</v>
      </c>
      <c r="F94" s="23">
        <v>80</v>
      </c>
      <c r="G94" s="33">
        <v>1</v>
      </c>
      <c r="H94" s="9">
        <f>IF($G$12&gt;=1,1,0)</f>
        <v>0</v>
      </c>
      <c r="I94" s="23">
        <v>250</v>
      </c>
      <c r="J94" s="33">
        <v>2</v>
      </c>
      <c r="K94" s="9">
        <f>IF($G$12&gt;F94,1,0)</f>
        <v>0</v>
      </c>
      <c r="L94" s="23">
        <v>430</v>
      </c>
      <c r="M94" s="33">
        <v>3</v>
      </c>
      <c r="N94" s="9">
        <f>IF($G$12&gt;I94,1,0)</f>
        <v>0</v>
      </c>
      <c r="O94" s="23"/>
      <c r="P94" s="33"/>
      <c r="Q94" s="10"/>
      <c r="R94" s="23"/>
      <c r="S94" s="33"/>
      <c r="T94" s="9"/>
      <c r="U94" s="23"/>
      <c r="V94" s="33"/>
      <c r="W94" s="10"/>
      <c r="X94" s="30"/>
      <c r="Y94" s="40"/>
      <c r="Z94" s="44"/>
      <c r="AA94" s="30">
        <f>ROUNDUP(IF($G$12&gt;L94,SUM(($G$12-L94)/200)),0)</f>
        <v>0</v>
      </c>
    </row>
    <row r="95" spans="1:27" x14ac:dyDescent="0.25">
      <c r="A95" s="50" t="s">
        <v>10</v>
      </c>
      <c r="B95" s="19" t="s">
        <v>41</v>
      </c>
      <c r="C95" s="19" t="s">
        <v>15</v>
      </c>
      <c r="D95" s="67" t="s">
        <v>23</v>
      </c>
      <c r="E95" s="56">
        <f t="shared" si="0"/>
        <v>0</v>
      </c>
      <c r="F95" s="23">
        <v>20</v>
      </c>
      <c r="G95" s="33">
        <v>1</v>
      </c>
      <c r="H95" s="9">
        <f>IF($G$8&gt;=1,1,0)</f>
        <v>0</v>
      </c>
      <c r="I95" s="23"/>
      <c r="J95" s="33"/>
      <c r="K95" s="9"/>
      <c r="L95" s="23"/>
      <c r="M95" s="33"/>
      <c r="N95" s="10"/>
      <c r="O95" s="23"/>
      <c r="P95" s="33"/>
      <c r="Q95" s="9"/>
      <c r="R95" s="23"/>
      <c r="S95" s="33"/>
      <c r="T95" s="10"/>
      <c r="U95" s="23"/>
      <c r="V95" s="33"/>
      <c r="W95" s="10"/>
      <c r="X95" s="30"/>
      <c r="Y95" s="40"/>
      <c r="Z95" s="44"/>
      <c r="AA95" s="30">
        <f>ROUNDUP(IF($G$8&gt;F95,SUM(($G$8-F95)/F95)),0)</f>
        <v>0</v>
      </c>
    </row>
    <row r="96" spans="1:27" x14ac:dyDescent="0.25">
      <c r="A96" s="50" t="s">
        <v>10</v>
      </c>
      <c r="B96" s="19" t="s">
        <v>41</v>
      </c>
      <c r="C96" s="19" t="s">
        <v>15</v>
      </c>
      <c r="D96" s="67" t="s">
        <v>24</v>
      </c>
      <c r="E96" s="56">
        <f t="shared" si="0"/>
        <v>0</v>
      </c>
      <c r="F96" s="23">
        <v>10</v>
      </c>
      <c r="G96" s="33">
        <v>0</v>
      </c>
      <c r="H96" s="9">
        <f>IF($G$8&gt;10,1,0)</f>
        <v>0</v>
      </c>
      <c r="I96" s="23">
        <v>25</v>
      </c>
      <c r="J96" s="33">
        <v>1</v>
      </c>
      <c r="K96" s="9">
        <f>IF($G$8&gt;I96,1,0)</f>
        <v>0</v>
      </c>
      <c r="L96" s="23">
        <v>50</v>
      </c>
      <c r="M96" s="33">
        <v>2</v>
      </c>
      <c r="N96" s="9"/>
      <c r="O96" s="23"/>
      <c r="P96" s="33"/>
      <c r="Q96" s="9"/>
      <c r="R96" s="23"/>
      <c r="S96" s="33"/>
      <c r="T96" s="9"/>
      <c r="U96" s="23"/>
      <c r="V96" s="33"/>
      <c r="W96" s="10"/>
      <c r="X96" s="30"/>
      <c r="Y96" s="40"/>
      <c r="Z96" s="44"/>
      <c r="AA96" s="30">
        <f>ROUNDUP(IF($G$8&gt;L96,SUM(($G$8-L96)/L96)),0)</f>
        <v>0</v>
      </c>
    </row>
    <row r="97" spans="1:27" x14ac:dyDescent="0.25">
      <c r="A97" s="50" t="s">
        <v>10</v>
      </c>
      <c r="B97" s="19" t="s">
        <v>41</v>
      </c>
      <c r="C97" s="19" t="s">
        <v>15</v>
      </c>
      <c r="D97" s="67" t="s">
        <v>60</v>
      </c>
      <c r="E97" s="56">
        <f t="shared" si="0"/>
        <v>0</v>
      </c>
      <c r="F97" s="23">
        <v>30</v>
      </c>
      <c r="G97" s="33">
        <v>1</v>
      </c>
      <c r="H97" s="9">
        <f>IF($G$8&gt;=1,1,0)</f>
        <v>0</v>
      </c>
      <c r="I97" s="23"/>
      <c r="J97" s="33"/>
      <c r="K97" s="9"/>
      <c r="L97" s="23"/>
      <c r="M97" s="33"/>
      <c r="N97" s="9"/>
      <c r="O97" s="23"/>
      <c r="P97" s="33"/>
      <c r="Q97" s="9"/>
      <c r="R97" s="23"/>
      <c r="S97" s="33"/>
      <c r="T97" s="10"/>
      <c r="U97" s="23"/>
      <c r="V97" s="33"/>
      <c r="W97" s="10"/>
      <c r="X97" s="30"/>
      <c r="Y97" s="40"/>
      <c r="Z97" s="44"/>
      <c r="AA97" s="30">
        <f>ROUNDUP(IF($G$8&gt;F97,SUM(($G$8-F97)/F97)),0)</f>
        <v>0</v>
      </c>
    </row>
    <row r="98" spans="1:27" x14ac:dyDescent="0.25">
      <c r="A98" s="50" t="s">
        <v>10</v>
      </c>
      <c r="B98" s="19" t="s">
        <v>41</v>
      </c>
      <c r="C98" s="19" t="s">
        <v>20</v>
      </c>
      <c r="D98" s="67" t="s">
        <v>23</v>
      </c>
      <c r="E98" s="56">
        <f t="shared" si="0"/>
        <v>0</v>
      </c>
      <c r="F98" s="23">
        <v>20</v>
      </c>
      <c r="G98" s="33">
        <v>1</v>
      </c>
      <c r="H98" s="9">
        <f>IF($G$14&gt;=1,1,0)</f>
        <v>0</v>
      </c>
      <c r="I98" s="23"/>
      <c r="J98" s="33"/>
      <c r="K98" s="9"/>
      <c r="L98" s="23"/>
      <c r="M98" s="33"/>
      <c r="N98" s="10"/>
      <c r="O98" s="23"/>
      <c r="P98" s="33"/>
      <c r="Q98" s="10"/>
      <c r="R98" s="23"/>
      <c r="S98" s="33"/>
      <c r="T98" s="9"/>
      <c r="U98" s="23"/>
      <c r="V98" s="33"/>
      <c r="W98" s="10"/>
      <c r="X98" s="30"/>
      <c r="Y98" s="40"/>
      <c r="Z98" s="44"/>
      <c r="AA98" s="30">
        <f>ROUNDUP(IF($G$14&gt;F98,SUM(($G$14-F98)/F98)),0)</f>
        <v>0</v>
      </c>
    </row>
    <row r="99" spans="1:27" x14ac:dyDescent="0.25">
      <c r="A99" s="50" t="s">
        <v>10</v>
      </c>
      <c r="B99" s="19" t="s">
        <v>41</v>
      </c>
      <c r="C99" s="19" t="s">
        <v>20</v>
      </c>
      <c r="D99" s="67" t="s">
        <v>24</v>
      </c>
      <c r="E99" s="56">
        <f t="shared" si="0"/>
        <v>0</v>
      </c>
      <c r="F99" s="23">
        <v>10</v>
      </c>
      <c r="G99" s="33">
        <v>1</v>
      </c>
      <c r="H99" s="9">
        <f t="shared" ref="H99" si="5">IF($G$14&gt;=1,1,0)</f>
        <v>0</v>
      </c>
      <c r="I99" s="23"/>
      <c r="J99" s="33"/>
      <c r="K99" s="9"/>
      <c r="L99" s="23"/>
      <c r="M99" s="33"/>
      <c r="N99" s="10"/>
      <c r="O99" s="23"/>
      <c r="P99" s="33"/>
      <c r="Q99" s="10"/>
      <c r="R99" s="23"/>
      <c r="S99" s="33"/>
      <c r="T99" s="9"/>
      <c r="U99" s="23"/>
      <c r="V99" s="33"/>
      <c r="W99" s="10"/>
      <c r="X99" s="30"/>
      <c r="Y99" s="40"/>
      <c r="Z99" s="44"/>
      <c r="AA99" s="30">
        <f>ROUNDUP(IF($G$14&gt;F99,SUM(($G$14-F99)/F99)),0)</f>
        <v>0</v>
      </c>
    </row>
    <row r="100" spans="1:27" x14ac:dyDescent="0.25">
      <c r="A100" s="50" t="s">
        <v>10</v>
      </c>
      <c r="B100" s="19" t="s">
        <v>41</v>
      </c>
      <c r="C100" s="19" t="s">
        <v>20</v>
      </c>
      <c r="D100" s="67" t="s">
        <v>60</v>
      </c>
      <c r="E100" s="56">
        <f t="shared" si="0"/>
        <v>0</v>
      </c>
      <c r="F100" s="23">
        <v>10</v>
      </c>
      <c r="G100" s="33">
        <v>1</v>
      </c>
      <c r="H100" s="9">
        <f>IF($G$14&gt;=1,1,0)</f>
        <v>0</v>
      </c>
      <c r="I100" s="23"/>
      <c r="J100" s="33"/>
      <c r="K100" s="9"/>
      <c r="L100" s="23"/>
      <c r="M100" s="33"/>
      <c r="N100" s="10"/>
      <c r="O100" s="23"/>
      <c r="P100" s="33"/>
      <c r="Q100" s="10"/>
      <c r="R100" s="23"/>
      <c r="S100" s="33"/>
      <c r="T100" s="9"/>
      <c r="U100" s="23"/>
      <c r="V100" s="33"/>
      <c r="W100" s="10"/>
      <c r="X100" s="30"/>
      <c r="Y100" s="40"/>
      <c r="Z100" s="44"/>
      <c r="AA100" s="30">
        <f>ROUNDUP(IF($G$14&gt;F100,SUM(($G$14-F100)/F100)),0)</f>
        <v>0</v>
      </c>
    </row>
    <row r="101" spans="1:27" x14ac:dyDescent="0.25">
      <c r="A101" s="50" t="s">
        <v>10</v>
      </c>
      <c r="B101" s="19" t="s">
        <v>41</v>
      </c>
      <c r="C101" s="19" t="s">
        <v>20</v>
      </c>
      <c r="D101" s="67" t="s">
        <v>69</v>
      </c>
      <c r="E101" s="56">
        <f t="shared" ref="E101:E102" si="6">SUM(H101,K101,N101,Q101,T101,W101,Z101,AA101)</f>
        <v>0</v>
      </c>
      <c r="F101" s="23">
        <v>10</v>
      </c>
      <c r="G101" s="33">
        <v>1</v>
      </c>
      <c r="H101" s="9">
        <f t="shared" ref="H101:H102" si="7">IF($G$14&gt;=1,1,0)</f>
        <v>0</v>
      </c>
      <c r="I101" s="23"/>
      <c r="J101" s="33"/>
      <c r="K101" s="9"/>
      <c r="L101" s="23"/>
      <c r="M101" s="33"/>
      <c r="N101" s="10"/>
      <c r="O101" s="23"/>
      <c r="P101" s="33"/>
      <c r="Q101" s="10"/>
      <c r="R101" s="23"/>
      <c r="S101" s="33"/>
      <c r="T101" s="9"/>
      <c r="U101" s="23"/>
      <c r="V101" s="33"/>
      <c r="W101" s="10"/>
      <c r="X101" s="30"/>
      <c r="Y101" s="40"/>
      <c r="Z101" s="44"/>
      <c r="AA101" s="30">
        <f t="shared" ref="AA101" si="8">ROUNDUP(IF($G$14&gt;F101,SUM(($G$14-F101)/F101)),0)</f>
        <v>0</v>
      </c>
    </row>
    <row r="102" spans="1:27" x14ac:dyDescent="0.25">
      <c r="A102" s="50" t="s">
        <v>10</v>
      </c>
      <c r="B102" s="19" t="s">
        <v>42</v>
      </c>
      <c r="C102" s="19" t="s">
        <v>20</v>
      </c>
      <c r="D102" s="67" t="s">
        <v>69</v>
      </c>
      <c r="E102" s="56">
        <f t="shared" si="6"/>
        <v>0</v>
      </c>
      <c r="F102" s="23">
        <v>10</v>
      </c>
      <c r="G102" s="33">
        <v>1</v>
      </c>
      <c r="H102" s="9">
        <f t="shared" si="7"/>
        <v>0</v>
      </c>
      <c r="I102" s="23"/>
      <c r="J102" s="33"/>
      <c r="K102" s="9"/>
      <c r="L102" s="23"/>
      <c r="M102" s="33"/>
      <c r="N102" s="10"/>
      <c r="O102" s="23"/>
      <c r="P102" s="33"/>
      <c r="Q102" s="10"/>
      <c r="R102" s="23"/>
      <c r="S102" s="33"/>
      <c r="T102" s="9"/>
      <c r="U102" s="23"/>
      <c r="V102" s="33"/>
      <c r="W102" s="10"/>
      <c r="X102" s="30"/>
      <c r="Y102" s="40"/>
      <c r="Z102" s="44"/>
      <c r="AA102" s="30">
        <f>ROUNDUP(IF($G$15&gt;F102,SUM(($G$15-F102)/F102)),0)</f>
        <v>0</v>
      </c>
    </row>
    <row r="103" spans="1:27" x14ac:dyDescent="0.25">
      <c r="A103" s="50" t="s">
        <v>10</v>
      </c>
      <c r="B103" s="19" t="s">
        <v>41</v>
      </c>
      <c r="C103" s="19" t="s">
        <v>21</v>
      </c>
      <c r="D103" s="67" t="s">
        <v>23</v>
      </c>
      <c r="E103" s="56">
        <f t="shared" si="0"/>
        <v>0</v>
      </c>
      <c r="F103" s="23">
        <v>250</v>
      </c>
      <c r="G103" s="33">
        <v>1</v>
      </c>
      <c r="H103" s="9">
        <f>IF($G$11&gt;=1,1,0)</f>
        <v>0</v>
      </c>
      <c r="I103" s="23">
        <v>500</v>
      </c>
      <c r="J103" s="33">
        <v>2</v>
      </c>
      <c r="K103" s="9">
        <f>IF($G$11&gt;F103,1,0)</f>
        <v>0</v>
      </c>
      <c r="L103" s="23"/>
      <c r="M103" s="33"/>
      <c r="N103" s="10"/>
      <c r="O103" s="23"/>
      <c r="P103" s="33"/>
      <c r="Q103" s="10"/>
      <c r="R103" s="23"/>
      <c r="S103" s="33"/>
      <c r="T103" s="9"/>
      <c r="U103" s="23"/>
      <c r="V103" s="33"/>
      <c r="W103" s="10"/>
      <c r="X103" s="30"/>
      <c r="Y103" s="40"/>
      <c r="Z103" s="44"/>
      <c r="AA103" s="30">
        <f>ROUNDUP(IF($G$11&gt;I103,SUM(($G$11-I103)/500)),0)</f>
        <v>0</v>
      </c>
    </row>
    <row r="104" spans="1:27" x14ac:dyDescent="0.25">
      <c r="A104" s="50" t="s">
        <v>10</v>
      </c>
      <c r="B104" s="19" t="s">
        <v>41</v>
      </c>
      <c r="C104" s="19" t="s">
        <v>21</v>
      </c>
      <c r="D104" s="67" t="s">
        <v>24</v>
      </c>
      <c r="E104" s="56">
        <f t="shared" si="0"/>
        <v>0</v>
      </c>
      <c r="F104" s="23">
        <v>100</v>
      </c>
      <c r="G104" s="33">
        <v>1</v>
      </c>
      <c r="H104" s="9">
        <f>IF($G$11&gt;=1,1,0)</f>
        <v>0</v>
      </c>
      <c r="I104" s="23"/>
      <c r="J104" s="33"/>
      <c r="K104" s="9"/>
      <c r="L104" s="23"/>
      <c r="M104" s="33"/>
      <c r="N104" s="10"/>
      <c r="O104" s="23"/>
      <c r="P104" s="33"/>
      <c r="Q104" s="10"/>
      <c r="R104" s="23"/>
      <c r="S104" s="33"/>
      <c r="T104" s="9"/>
      <c r="U104" s="23"/>
      <c r="V104" s="33"/>
      <c r="W104" s="10"/>
      <c r="X104" s="30"/>
      <c r="Y104" s="40"/>
      <c r="Z104" s="44"/>
      <c r="AA104" s="30">
        <f>ROUNDUP(IF($G$11&gt;F104,SUM(($G$11-F104)/F104)),0)</f>
        <v>0</v>
      </c>
    </row>
    <row r="105" spans="1:27" ht="15.75" thickBot="1" x14ac:dyDescent="0.3">
      <c r="A105" s="51" t="s">
        <v>10</v>
      </c>
      <c r="B105" s="19" t="s">
        <v>41</v>
      </c>
      <c r="C105" s="19" t="s">
        <v>21</v>
      </c>
      <c r="D105" s="68" t="s">
        <v>60</v>
      </c>
      <c r="E105" s="32">
        <f t="shared" ref="E105:E152" si="9">SUM(H105,K105,N105,Q105,T105,W105,Z105,AA105)</f>
        <v>0</v>
      </c>
      <c r="F105" s="24">
        <v>150</v>
      </c>
      <c r="G105" s="34">
        <v>1</v>
      </c>
      <c r="H105" s="32">
        <f>IF($G$11&gt;=1,1,0)</f>
        <v>0</v>
      </c>
      <c r="I105" s="24"/>
      <c r="J105" s="34"/>
      <c r="K105" s="11"/>
      <c r="L105" s="24"/>
      <c r="M105" s="34"/>
      <c r="N105" s="12"/>
      <c r="O105" s="24"/>
      <c r="P105" s="34"/>
      <c r="Q105" s="12"/>
      <c r="R105" s="24"/>
      <c r="S105" s="34"/>
      <c r="T105" s="11"/>
      <c r="U105" s="24"/>
      <c r="V105" s="34"/>
      <c r="W105" s="12"/>
      <c r="X105" s="31"/>
      <c r="Y105" s="41"/>
      <c r="Z105" s="45"/>
      <c r="AA105" s="30">
        <f>ROUNDUP(IF($G$11&gt;F105,SUM(($G$11-F105)/F105)),0)</f>
        <v>0</v>
      </c>
    </row>
    <row r="106" spans="1:27" x14ac:dyDescent="0.25">
      <c r="A106" s="52" t="s">
        <v>13</v>
      </c>
      <c r="B106" s="21" t="s">
        <v>42</v>
      </c>
      <c r="C106" s="21" t="s">
        <v>15</v>
      </c>
      <c r="D106" s="69" t="s">
        <v>23</v>
      </c>
      <c r="E106" s="56">
        <f t="shared" si="9"/>
        <v>0</v>
      </c>
      <c r="F106" s="25">
        <v>15</v>
      </c>
      <c r="G106" s="36">
        <v>1</v>
      </c>
      <c r="H106" s="9">
        <f>IF($G$9&gt;=1,1,0)</f>
        <v>0</v>
      </c>
      <c r="I106" s="25"/>
      <c r="J106" s="36"/>
      <c r="K106" s="13"/>
      <c r="L106" s="25"/>
      <c r="M106" s="36"/>
      <c r="N106" s="13"/>
      <c r="O106" s="25"/>
      <c r="P106" s="36"/>
      <c r="Q106" s="13"/>
      <c r="R106" s="25"/>
      <c r="S106" s="36"/>
      <c r="T106" s="13"/>
      <c r="U106" s="25"/>
      <c r="V106" s="36"/>
      <c r="W106" s="14"/>
      <c r="X106" s="29"/>
      <c r="Y106" s="42"/>
      <c r="Z106" s="46"/>
      <c r="AA106" s="29">
        <f>ROUNDUP(IF($G$9&gt;F106,SUM(($G$9-F106)/F106)),0)</f>
        <v>0</v>
      </c>
    </row>
    <row r="107" spans="1:27" x14ac:dyDescent="0.25">
      <c r="A107" s="52" t="s">
        <v>13</v>
      </c>
      <c r="B107" s="19" t="s">
        <v>42</v>
      </c>
      <c r="C107" s="19" t="s">
        <v>15</v>
      </c>
      <c r="D107" s="67" t="s">
        <v>60</v>
      </c>
      <c r="E107" s="56">
        <f t="shared" si="9"/>
        <v>0</v>
      </c>
      <c r="F107" s="23">
        <v>30</v>
      </c>
      <c r="G107" s="33">
        <v>1</v>
      </c>
      <c r="H107" s="9">
        <f>IF($G$9&gt;=1,1,0)</f>
        <v>0</v>
      </c>
      <c r="I107" s="23"/>
      <c r="J107" s="33"/>
      <c r="K107" s="9"/>
      <c r="L107" s="23"/>
      <c r="M107" s="33"/>
      <c r="N107" s="9"/>
      <c r="O107" s="23"/>
      <c r="P107" s="33"/>
      <c r="Q107" s="10"/>
      <c r="R107" s="23"/>
      <c r="S107" s="33"/>
      <c r="T107" s="9"/>
      <c r="U107" s="23"/>
      <c r="V107" s="33"/>
      <c r="W107" s="10"/>
      <c r="X107" s="30"/>
      <c r="Y107" s="40"/>
      <c r="Z107" s="44"/>
      <c r="AA107" s="30">
        <f>ROUNDUP(IF($G$9&gt;F107,SUM(($G$9-F107)/F107)),0)</f>
        <v>0</v>
      </c>
    </row>
    <row r="108" spans="1:27" x14ac:dyDescent="0.25">
      <c r="A108" s="52" t="s">
        <v>13</v>
      </c>
      <c r="B108" s="19" t="s">
        <v>42</v>
      </c>
      <c r="C108" s="19" t="s">
        <v>16</v>
      </c>
      <c r="D108" s="67" t="s">
        <v>23</v>
      </c>
      <c r="E108" s="56">
        <f t="shared" si="9"/>
        <v>0</v>
      </c>
      <c r="F108" s="23">
        <v>25</v>
      </c>
      <c r="G108" s="33">
        <v>1</v>
      </c>
      <c r="H108" s="9">
        <f>IF($G$12&gt;=1,1,0)</f>
        <v>0</v>
      </c>
      <c r="I108" s="23">
        <v>50</v>
      </c>
      <c r="J108" s="33">
        <v>2</v>
      </c>
      <c r="K108" s="9">
        <f>IF($G$12&gt;F108,1,0)</f>
        <v>0</v>
      </c>
      <c r="L108" s="23">
        <v>100</v>
      </c>
      <c r="M108" s="33">
        <v>3</v>
      </c>
      <c r="N108" s="9">
        <f>IF($G$12&gt;I108,1,0)</f>
        <v>0</v>
      </c>
      <c r="O108" s="23">
        <v>150</v>
      </c>
      <c r="P108" s="33">
        <v>4</v>
      </c>
      <c r="Q108" s="9">
        <f>IF($G$12&gt;L108,1,0)</f>
        <v>0</v>
      </c>
      <c r="R108" s="23">
        <v>200</v>
      </c>
      <c r="S108" s="33">
        <v>5</v>
      </c>
      <c r="T108" s="9">
        <f>IF($G$12&gt;O108,1,0)</f>
        <v>0</v>
      </c>
      <c r="U108" s="23">
        <v>250</v>
      </c>
      <c r="V108" s="33">
        <v>6</v>
      </c>
      <c r="W108" s="9">
        <f>IF($G$12&gt;R108,1,0)</f>
        <v>0</v>
      </c>
      <c r="X108" s="30"/>
      <c r="Y108" s="40"/>
      <c r="Z108" s="44"/>
      <c r="AA108" s="30">
        <f>ROUNDUP(IF($G$12&gt;U108,SUM(($G$12-U108)/100)),0)</f>
        <v>0</v>
      </c>
    </row>
    <row r="109" spans="1:27" x14ac:dyDescent="0.25">
      <c r="A109" s="52" t="s">
        <v>13</v>
      </c>
      <c r="B109" s="19" t="s">
        <v>42</v>
      </c>
      <c r="C109" s="19" t="s">
        <v>16</v>
      </c>
      <c r="D109" s="67" t="s">
        <v>60</v>
      </c>
      <c r="E109" s="56">
        <f t="shared" si="9"/>
        <v>0</v>
      </c>
      <c r="F109" s="23">
        <v>50</v>
      </c>
      <c r="G109" s="33">
        <v>1</v>
      </c>
      <c r="H109" s="9">
        <f>IF($G$12&gt;=1,1,0)</f>
        <v>0</v>
      </c>
      <c r="I109" s="23">
        <v>150</v>
      </c>
      <c r="J109" s="33">
        <v>2</v>
      </c>
      <c r="K109" s="9">
        <f>IF($G$12&gt;F109,1,0)</f>
        <v>0</v>
      </c>
      <c r="L109" s="23"/>
      <c r="M109" s="33"/>
      <c r="N109" s="9"/>
      <c r="O109" s="23"/>
      <c r="P109" s="33"/>
      <c r="Q109" s="10"/>
      <c r="R109" s="23"/>
      <c r="S109" s="33"/>
      <c r="T109" s="9"/>
      <c r="U109" s="23"/>
      <c r="V109" s="33"/>
      <c r="W109" s="10"/>
      <c r="X109" s="30"/>
      <c r="Y109" s="40"/>
      <c r="Z109" s="44"/>
      <c r="AA109" s="30">
        <f>ROUNDUP(IF($G$12&gt;I109,SUM(($G$12-I109)/200)),0)</f>
        <v>0</v>
      </c>
    </row>
    <row r="110" spans="1:27" x14ac:dyDescent="0.25">
      <c r="A110" s="52" t="s">
        <v>13</v>
      </c>
      <c r="B110" s="19" t="s">
        <v>41</v>
      </c>
      <c r="C110" s="19" t="s">
        <v>15</v>
      </c>
      <c r="D110" s="67" t="s">
        <v>23</v>
      </c>
      <c r="E110" s="56">
        <f t="shared" si="9"/>
        <v>0</v>
      </c>
      <c r="F110" s="23">
        <v>20</v>
      </c>
      <c r="G110" s="33">
        <v>1</v>
      </c>
      <c r="H110" s="9">
        <f>IF($G$8&gt;=1,1,0)</f>
        <v>0</v>
      </c>
      <c r="I110" s="23"/>
      <c r="J110" s="33"/>
      <c r="K110" s="9"/>
      <c r="L110" s="23"/>
      <c r="M110" s="33"/>
      <c r="N110" s="10"/>
      <c r="O110" s="23"/>
      <c r="P110" s="33"/>
      <c r="Q110" s="9"/>
      <c r="R110" s="23"/>
      <c r="S110" s="33"/>
      <c r="T110" s="10"/>
      <c r="U110" s="23"/>
      <c r="V110" s="33"/>
      <c r="W110" s="10"/>
      <c r="X110" s="30"/>
      <c r="Y110" s="40"/>
      <c r="Z110" s="44"/>
      <c r="AA110" s="30">
        <f>ROUNDUP(IF($G$8&gt;F110,SUM(($G$8-F110)/F110)),0)</f>
        <v>0</v>
      </c>
    </row>
    <row r="111" spans="1:27" x14ac:dyDescent="0.25">
      <c r="A111" s="52" t="s">
        <v>13</v>
      </c>
      <c r="B111" s="19" t="s">
        <v>41</v>
      </c>
      <c r="C111" s="19" t="s">
        <v>15</v>
      </c>
      <c r="D111" s="67" t="s">
        <v>24</v>
      </c>
      <c r="E111" s="56">
        <f t="shared" si="9"/>
        <v>0</v>
      </c>
      <c r="F111" s="23">
        <v>10</v>
      </c>
      <c r="G111" s="33">
        <v>0</v>
      </c>
      <c r="H111" s="9">
        <f>IF($G$8&gt;10,1,0)</f>
        <v>0</v>
      </c>
      <c r="I111" s="23">
        <v>25</v>
      </c>
      <c r="J111" s="33">
        <v>1</v>
      </c>
      <c r="K111" s="9">
        <f>IF($G$8&gt;F111,1,0)</f>
        <v>0</v>
      </c>
      <c r="L111" s="23">
        <v>50</v>
      </c>
      <c r="M111" s="33">
        <v>2</v>
      </c>
      <c r="N111" s="9"/>
      <c r="O111" s="23"/>
      <c r="P111" s="33"/>
      <c r="Q111" s="9"/>
      <c r="R111" s="23"/>
      <c r="S111" s="33"/>
      <c r="T111" s="9"/>
      <c r="U111" s="23"/>
      <c r="V111" s="33"/>
      <c r="W111" s="10"/>
      <c r="X111" s="30"/>
      <c r="Y111" s="40"/>
      <c r="Z111" s="44"/>
      <c r="AA111" s="30">
        <f>ROUNDUP(IF($G$8&gt;L111,SUM(($G$8-L111)/L111)),0)</f>
        <v>0</v>
      </c>
    </row>
    <row r="112" spans="1:27" x14ac:dyDescent="0.25">
      <c r="A112" s="52" t="s">
        <v>13</v>
      </c>
      <c r="B112" s="19" t="s">
        <v>41</v>
      </c>
      <c r="C112" s="19" t="s">
        <v>15</v>
      </c>
      <c r="D112" s="67" t="s">
        <v>60</v>
      </c>
      <c r="E112" s="56">
        <f t="shared" si="9"/>
        <v>0</v>
      </c>
      <c r="F112" s="23">
        <v>30</v>
      </c>
      <c r="G112" s="33">
        <v>1</v>
      </c>
      <c r="H112" s="9">
        <f>IF($G$8&gt;=1,1,0)</f>
        <v>0</v>
      </c>
      <c r="I112" s="23"/>
      <c r="J112" s="33"/>
      <c r="K112" s="9"/>
      <c r="L112" s="23"/>
      <c r="M112" s="33"/>
      <c r="N112" s="9"/>
      <c r="O112" s="23"/>
      <c r="P112" s="33"/>
      <c r="Q112" s="9"/>
      <c r="R112" s="23"/>
      <c r="S112" s="33"/>
      <c r="T112" s="10"/>
      <c r="U112" s="23"/>
      <c r="V112" s="33"/>
      <c r="W112" s="10"/>
      <c r="X112" s="30"/>
      <c r="Y112" s="40"/>
      <c r="Z112" s="44"/>
      <c r="AA112" s="30">
        <f>ROUNDUP(IF($G$8&gt;F112,SUM(($G$8-F112)/F112)),0)</f>
        <v>0</v>
      </c>
    </row>
    <row r="113" spans="1:27" x14ac:dyDescent="0.25">
      <c r="A113" s="52" t="s">
        <v>13</v>
      </c>
      <c r="B113" s="19" t="s">
        <v>41</v>
      </c>
      <c r="C113" s="19" t="s">
        <v>16</v>
      </c>
      <c r="D113" s="67" t="s">
        <v>23</v>
      </c>
      <c r="E113" s="56">
        <f t="shared" si="9"/>
        <v>0</v>
      </c>
      <c r="F113" s="23">
        <v>100</v>
      </c>
      <c r="G113" s="33">
        <v>1</v>
      </c>
      <c r="H113" s="9">
        <f>IF($G$11&gt;=1,1,0)</f>
        <v>0</v>
      </c>
      <c r="I113" s="23"/>
      <c r="J113" s="33"/>
      <c r="K113" s="9"/>
      <c r="L113" s="23"/>
      <c r="M113" s="33"/>
      <c r="N113" s="10"/>
      <c r="O113" s="23"/>
      <c r="P113" s="33"/>
      <c r="Q113" s="10"/>
      <c r="R113" s="23"/>
      <c r="S113" s="33"/>
      <c r="T113" s="10"/>
      <c r="U113" s="23"/>
      <c r="V113" s="33"/>
      <c r="W113" s="10"/>
      <c r="X113" s="30"/>
      <c r="Y113" s="40"/>
      <c r="Z113" s="44"/>
      <c r="AA113" s="30">
        <f>ROUNDUP(IF($G$11&gt;F113,SUM(($G$11-F113)/200)),0)</f>
        <v>0</v>
      </c>
    </row>
    <row r="114" spans="1:27" x14ac:dyDescent="0.25">
      <c r="A114" s="52" t="s">
        <v>13</v>
      </c>
      <c r="B114" s="19" t="s">
        <v>41</v>
      </c>
      <c r="C114" s="19" t="s">
        <v>16</v>
      </c>
      <c r="D114" s="67" t="s">
        <v>24</v>
      </c>
      <c r="E114" s="56">
        <f t="shared" si="9"/>
        <v>0</v>
      </c>
      <c r="F114" s="23">
        <v>50</v>
      </c>
      <c r="G114" s="33">
        <v>1</v>
      </c>
      <c r="H114" s="9">
        <f>IF($G$11&gt;=1,1,0)</f>
        <v>0</v>
      </c>
      <c r="I114" s="23">
        <v>100</v>
      </c>
      <c r="J114" s="33">
        <v>2</v>
      </c>
      <c r="K114" s="9">
        <f>IF($G$11&gt;F114,1,0)</f>
        <v>0</v>
      </c>
      <c r="L114" s="23">
        <v>150</v>
      </c>
      <c r="M114" s="33">
        <v>3</v>
      </c>
      <c r="N114" s="9">
        <f>IF($G$11&gt;I114,1,0)</f>
        <v>0</v>
      </c>
      <c r="O114" s="23">
        <v>200</v>
      </c>
      <c r="P114" s="33">
        <v>4</v>
      </c>
      <c r="Q114" s="9">
        <f>IF($G$11&gt;L114,1,0)</f>
        <v>0</v>
      </c>
      <c r="R114" s="23">
        <v>250</v>
      </c>
      <c r="S114" s="33">
        <v>5</v>
      </c>
      <c r="T114" s="9">
        <f>IF($G$11&gt;O114,1,0)</f>
        <v>0</v>
      </c>
      <c r="U114" s="23"/>
      <c r="V114" s="33"/>
      <c r="W114" s="10"/>
      <c r="X114" s="30"/>
      <c r="Y114" s="40"/>
      <c r="Z114" s="44"/>
      <c r="AA114" s="30">
        <f>ROUNDUP(IF($G$11&gt;R114,SUM(($G$11-R114)/100)),0)</f>
        <v>0</v>
      </c>
    </row>
    <row r="115" spans="1:27" ht="15.75" thickBot="1" x14ac:dyDescent="0.3">
      <c r="A115" s="53" t="s">
        <v>13</v>
      </c>
      <c r="B115" s="19" t="s">
        <v>41</v>
      </c>
      <c r="C115" s="20" t="s">
        <v>16</v>
      </c>
      <c r="D115" s="68" t="s">
        <v>60</v>
      </c>
      <c r="E115" s="32">
        <f t="shared" si="9"/>
        <v>0</v>
      </c>
      <c r="F115" s="24">
        <v>50</v>
      </c>
      <c r="G115" s="34">
        <v>1</v>
      </c>
      <c r="H115" s="32">
        <f>IF($G$11&gt;=1,1,0)</f>
        <v>0</v>
      </c>
      <c r="I115" s="24">
        <v>200</v>
      </c>
      <c r="J115" s="34">
        <v>2</v>
      </c>
      <c r="K115" s="9">
        <f>IF($G$11&gt;F115,1,0)</f>
        <v>0</v>
      </c>
      <c r="L115" s="24"/>
      <c r="M115" s="34"/>
      <c r="N115" s="12"/>
      <c r="O115" s="24"/>
      <c r="P115" s="34"/>
      <c r="Q115" s="12"/>
      <c r="R115" s="24"/>
      <c r="S115" s="34"/>
      <c r="T115" s="12"/>
      <c r="U115" s="24"/>
      <c r="V115" s="34"/>
      <c r="W115" s="12"/>
      <c r="X115" s="31"/>
      <c r="Y115" s="41"/>
      <c r="Z115" s="45"/>
      <c r="AA115" s="30">
        <f>ROUNDUP(IF($G$11&gt;I115,SUM(($G$11-I115)/I115)),0)</f>
        <v>0</v>
      </c>
    </row>
    <row r="116" spans="1:27" x14ac:dyDescent="0.25">
      <c r="A116" s="48" t="s">
        <v>8</v>
      </c>
      <c r="B116" s="21" t="s">
        <v>42</v>
      </c>
      <c r="C116" s="21" t="s">
        <v>15</v>
      </c>
      <c r="D116" s="69" t="s">
        <v>23</v>
      </c>
      <c r="E116" s="56">
        <f t="shared" si="9"/>
        <v>0</v>
      </c>
      <c r="F116" s="25">
        <v>5</v>
      </c>
      <c r="G116" s="36">
        <v>1</v>
      </c>
      <c r="H116" s="9">
        <f>IF($G$9&gt;=1,1,0)</f>
        <v>0</v>
      </c>
      <c r="I116" s="25"/>
      <c r="J116" s="36"/>
      <c r="K116" s="13"/>
      <c r="L116" s="25"/>
      <c r="M116" s="36"/>
      <c r="N116" s="13"/>
      <c r="O116" s="25"/>
      <c r="P116" s="36"/>
      <c r="Q116" s="13"/>
      <c r="R116" s="25"/>
      <c r="S116" s="36"/>
      <c r="T116" s="13"/>
      <c r="U116" s="25"/>
      <c r="V116" s="36"/>
      <c r="W116" s="14"/>
      <c r="X116" s="29"/>
      <c r="Y116" s="42"/>
      <c r="Z116" s="46"/>
      <c r="AA116" s="29">
        <f>ROUNDUP(IF($G$9&gt;F116,SUM(($G$9-F116)/15)),0)</f>
        <v>0</v>
      </c>
    </row>
    <row r="117" spans="1:27" x14ac:dyDescent="0.25">
      <c r="A117" s="48" t="s">
        <v>8</v>
      </c>
      <c r="B117" s="19" t="s">
        <v>42</v>
      </c>
      <c r="C117" s="19" t="s">
        <v>15</v>
      </c>
      <c r="D117" s="67" t="s">
        <v>60</v>
      </c>
      <c r="E117" s="56">
        <f t="shared" si="9"/>
        <v>0</v>
      </c>
      <c r="F117" s="23">
        <v>30</v>
      </c>
      <c r="G117" s="33">
        <v>1</v>
      </c>
      <c r="H117" s="9">
        <f>IF($G$9&gt;=1,1,0)</f>
        <v>0</v>
      </c>
      <c r="I117" s="23"/>
      <c r="J117" s="33"/>
      <c r="K117" s="9"/>
      <c r="L117" s="23"/>
      <c r="M117" s="33"/>
      <c r="N117" s="9"/>
      <c r="O117" s="23"/>
      <c r="P117" s="33"/>
      <c r="Q117" s="9"/>
      <c r="R117" s="23"/>
      <c r="S117" s="33"/>
      <c r="T117" s="9"/>
      <c r="U117" s="23"/>
      <c r="V117" s="33"/>
      <c r="W117" s="10"/>
      <c r="X117" s="30"/>
      <c r="Y117" s="40"/>
      <c r="Z117" s="44"/>
      <c r="AA117" s="30">
        <f>ROUNDUP(IF($G$9&gt;F117,SUM(($G$9-F117)/F117)),0)</f>
        <v>0</v>
      </c>
    </row>
    <row r="118" spans="1:27" x14ac:dyDescent="0.25">
      <c r="A118" s="48" t="s">
        <v>8</v>
      </c>
      <c r="B118" s="19" t="s">
        <v>42</v>
      </c>
      <c r="C118" s="19" t="s">
        <v>19</v>
      </c>
      <c r="D118" s="70" t="s">
        <v>23</v>
      </c>
      <c r="E118" s="56">
        <f t="shared" si="9"/>
        <v>0</v>
      </c>
      <c r="F118" s="23">
        <v>10</v>
      </c>
      <c r="G118" s="33">
        <v>1</v>
      </c>
      <c r="H118" s="9">
        <f>IF($G$12&gt;=1,1,0)</f>
        <v>0</v>
      </c>
      <c r="I118" s="23">
        <v>25</v>
      </c>
      <c r="J118" s="33">
        <v>2</v>
      </c>
      <c r="K118" s="9">
        <f>IF($G$12&gt;F118,1,0)</f>
        <v>0</v>
      </c>
      <c r="L118" s="23">
        <v>50</v>
      </c>
      <c r="M118" s="33">
        <v>3</v>
      </c>
      <c r="N118" s="9">
        <f>IF($G$12&gt;I118,1,0)</f>
        <v>0</v>
      </c>
      <c r="O118" s="23">
        <v>75</v>
      </c>
      <c r="P118" s="33">
        <v>4</v>
      </c>
      <c r="Q118" s="10">
        <f>IF($G$12&gt;L118,1,0)</f>
        <v>0</v>
      </c>
      <c r="R118" s="23">
        <v>100</v>
      </c>
      <c r="S118" s="33">
        <v>4</v>
      </c>
      <c r="T118" s="9">
        <f>IF($G$12&gt;O118,1,0)</f>
        <v>0</v>
      </c>
      <c r="U118" s="23"/>
      <c r="V118" s="33"/>
      <c r="W118" s="10"/>
      <c r="X118" s="30"/>
      <c r="Y118" s="40"/>
      <c r="Z118" s="44"/>
      <c r="AA118" s="30">
        <f>ROUNDUP(IF($G$12&gt;R118,SUM(($G$12-R118)/50)),0)</f>
        <v>0</v>
      </c>
    </row>
    <row r="119" spans="1:27" x14ac:dyDescent="0.25">
      <c r="A119" s="48" t="s">
        <v>8</v>
      </c>
      <c r="B119" s="19" t="s">
        <v>42</v>
      </c>
      <c r="C119" s="19" t="s">
        <v>19</v>
      </c>
      <c r="D119" s="70" t="s">
        <v>60</v>
      </c>
      <c r="E119" s="56">
        <f t="shared" si="9"/>
        <v>0</v>
      </c>
      <c r="F119" s="23">
        <v>10</v>
      </c>
      <c r="G119" s="33">
        <v>1</v>
      </c>
      <c r="H119" s="9">
        <f>IF($G$12&gt;=1,1,0)</f>
        <v>0</v>
      </c>
      <c r="I119" s="23">
        <v>50</v>
      </c>
      <c r="J119" s="33">
        <v>2</v>
      </c>
      <c r="K119" s="9">
        <f>IF($G$12&gt;F119,1,0)</f>
        <v>0</v>
      </c>
      <c r="L119" s="23">
        <v>100</v>
      </c>
      <c r="M119" s="33">
        <v>3</v>
      </c>
      <c r="N119" s="9">
        <f>IF($G$12&gt;I119,1,0)</f>
        <v>0</v>
      </c>
      <c r="O119" s="23"/>
      <c r="P119" s="33"/>
      <c r="Q119" s="10"/>
      <c r="R119" s="23"/>
      <c r="S119" s="33"/>
      <c r="T119" s="9"/>
      <c r="U119" s="23"/>
      <c r="V119" s="33"/>
      <c r="W119" s="10"/>
      <c r="X119" s="30"/>
      <c r="Y119" s="40"/>
      <c r="Z119" s="44"/>
      <c r="AA119" s="30">
        <f>ROUNDUP(IF($G$12&gt;L119,SUM(($G$12-L119)/75)),0)</f>
        <v>0</v>
      </c>
    </row>
    <row r="120" spans="1:27" x14ac:dyDescent="0.25">
      <c r="A120" s="48" t="s">
        <v>8</v>
      </c>
      <c r="B120" s="19" t="s">
        <v>41</v>
      </c>
      <c r="C120" s="19" t="s">
        <v>15</v>
      </c>
      <c r="D120" s="67" t="s">
        <v>23</v>
      </c>
      <c r="E120" s="56">
        <f t="shared" si="9"/>
        <v>0</v>
      </c>
      <c r="F120" s="23">
        <v>20</v>
      </c>
      <c r="G120" s="33">
        <v>1</v>
      </c>
      <c r="H120" s="9">
        <f>IF($G$8&gt;=1,1,0)</f>
        <v>0</v>
      </c>
      <c r="I120" s="23"/>
      <c r="J120" s="33"/>
      <c r="K120" s="9"/>
      <c r="L120" s="23"/>
      <c r="M120" s="33"/>
      <c r="N120" s="9"/>
      <c r="O120" s="23"/>
      <c r="P120" s="33"/>
      <c r="Q120" s="9"/>
      <c r="R120" s="23"/>
      <c r="S120" s="33"/>
      <c r="T120" s="9"/>
      <c r="U120" s="23"/>
      <c r="V120" s="33"/>
      <c r="W120" s="10"/>
      <c r="X120" s="30"/>
      <c r="Y120" s="40"/>
      <c r="Z120" s="44"/>
      <c r="AA120" s="30">
        <f>ROUNDUP(IF($G$8&gt;F120,SUM(($G$8-F120)/F120)),0)</f>
        <v>0</v>
      </c>
    </row>
    <row r="121" spans="1:27" x14ac:dyDescent="0.25">
      <c r="A121" s="48" t="s">
        <v>8</v>
      </c>
      <c r="B121" s="19" t="s">
        <v>41</v>
      </c>
      <c r="C121" s="19" t="s">
        <v>15</v>
      </c>
      <c r="D121" s="67" t="s">
        <v>24</v>
      </c>
      <c r="E121" s="56">
        <f t="shared" si="9"/>
        <v>0</v>
      </c>
      <c r="F121" s="23">
        <v>10</v>
      </c>
      <c r="G121" s="33">
        <v>0</v>
      </c>
      <c r="H121" s="9">
        <f>IF($G$8&gt;10,1,0)</f>
        <v>0</v>
      </c>
      <c r="I121" s="23">
        <v>20</v>
      </c>
      <c r="J121" s="33">
        <v>1</v>
      </c>
      <c r="K121" s="9">
        <f>IF($G$8&gt;I121,1,0)</f>
        <v>0</v>
      </c>
      <c r="L121" s="23">
        <v>45</v>
      </c>
      <c r="M121" s="33">
        <v>2</v>
      </c>
      <c r="N121" s="9"/>
      <c r="O121" s="23"/>
      <c r="P121" s="33"/>
      <c r="Q121" s="9"/>
      <c r="R121" s="23"/>
      <c r="S121" s="33"/>
      <c r="T121" s="9"/>
      <c r="U121" s="23"/>
      <c r="V121" s="33"/>
      <c r="W121" s="10"/>
      <c r="X121" s="30"/>
      <c r="Y121" s="40"/>
      <c r="Z121" s="44"/>
      <c r="AA121" s="30">
        <f>ROUNDUP(IF($G$8&gt;L121,SUM(($G$8-L121)/30)),0)</f>
        <v>0</v>
      </c>
    </row>
    <row r="122" spans="1:27" x14ac:dyDescent="0.25">
      <c r="A122" s="48" t="s">
        <v>8</v>
      </c>
      <c r="B122" s="19" t="s">
        <v>41</v>
      </c>
      <c r="C122" s="19" t="s">
        <v>15</v>
      </c>
      <c r="D122" s="67" t="s">
        <v>60</v>
      </c>
      <c r="E122" s="56">
        <f t="shared" si="9"/>
        <v>0</v>
      </c>
      <c r="F122" s="23">
        <v>30</v>
      </c>
      <c r="G122" s="33">
        <v>1</v>
      </c>
      <c r="H122" s="9">
        <f>IF($G$8&gt;=1,1,0)</f>
        <v>0</v>
      </c>
      <c r="I122" s="23"/>
      <c r="J122" s="33"/>
      <c r="K122" s="9"/>
      <c r="L122" s="23"/>
      <c r="M122" s="33"/>
      <c r="N122" s="9"/>
      <c r="O122" s="23"/>
      <c r="P122" s="33"/>
      <c r="Q122" s="9"/>
      <c r="R122" s="23"/>
      <c r="S122" s="33"/>
      <c r="T122" s="9"/>
      <c r="U122" s="23"/>
      <c r="V122" s="33"/>
      <c r="W122" s="10"/>
      <c r="X122" s="30"/>
      <c r="Y122" s="40"/>
      <c r="Z122" s="44"/>
      <c r="AA122" s="30">
        <f>ROUNDUP(IF($G$8&gt;F122,SUM(($G$8-F122)/F122)),0)</f>
        <v>0</v>
      </c>
    </row>
    <row r="123" spans="1:27" x14ac:dyDescent="0.25">
      <c r="A123" s="48" t="s">
        <v>8</v>
      </c>
      <c r="B123" s="19" t="s">
        <v>41</v>
      </c>
      <c r="C123" s="19" t="s">
        <v>19</v>
      </c>
      <c r="D123" s="70" t="s">
        <v>23</v>
      </c>
      <c r="E123" s="56">
        <f t="shared" si="9"/>
        <v>0</v>
      </c>
      <c r="F123" s="23">
        <v>25</v>
      </c>
      <c r="G123" s="33">
        <v>1</v>
      </c>
      <c r="H123" s="9">
        <f>IF($G$11&gt;=1,1,0)</f>
        <v>0</v>
      </c>
      <c r="I123" s="23">
        <v>75</v>
      </c>
      <c r="J123" s="33">
        <v>2</v>
      </c>
      <c r="K123" s="9">
        <f>IF($G$11&gt;F123,1,0)</f>
        <v>0</v>
      </c>
      <c r="L123" s="23">
        <v>150</v>
      </c>
      <c r="M123" s="33">
        <v>3</v>
      </c>
      <c r="N123" s="9">
        <f>IF($G$11&gt;I123,1,0)</f>
        <v>0</v>
      </c>
      <c r="O123" s="23">
        <v>200</v>
      </c>
      <c r="P123" s="33">
        <v>4</v>
      </c>
      <c r="Q123" s="9">
        <f>IF($G$11&gt;L123,1,0)</f>
        <v>0</v>
      </c>
      <c r="R123" s="23"/>
      <c r="S123" s="33"/>
      <c r="T123" s="9"/>
      <c r="U123" s="23"/>
      <c r="V123" s="33"/>
      <c r="W123" s="10"/>
      <c r="X123" s="30"/>
      <c r="Y123" s="40"/>
      <c r="Z123" s="44"/>
      <c r="AA123" s="30">
        <f>ROUNDUP(IF($G$11&gt;O123,SUM(($G$11-O123)/100)),0)</f>
        <v>0</v>
      </c>
    </row>
    <row r="124" spans="1:27" x14ac:dyDescent="0.25">
      <c r="A124" s="48" t="s">
        <v>8</v>
      </c>
      <c r="B124" s="19" t="s">
        <v>41</v>
      </c>
      <c r="C124" s="19" t="s">
        <v>19</v>
      </c>
      <c r="D124" s="70" t="s">
        <v>24</v>
      </c>
      <c r="E124" s="56">
        <f t="shared" si="9"/>
        <v>0</v>
      </c>
      <c r="F124" s="23">
        <v>50</v>
      </c>
      <c r="G124" s="33">
        <v>1</v>
      </c>
      <c r="H124" s="9">
        <f>IF($G$11&gt;=1,1,0)</f>
        <v>0</v>
      </c>
      <c r="I124" s="23">
        <v>100</v>
      </c>
      <c r="J124" s="33">
        <v>2</v>
      </c>
      <c r="K124" s="9">
        <f t="shared" ref="K124:K125" si="10">IF($G$11&gt;F124,1,0)</f>
        <v>0</v>
      </c>
      <c r="L124" s="23"/>
      <c r="M124" s="33"/>
      <c r="N124" s="9"/>
      <c r="O124" s="23"/>
      <c r="P124" s="33"/>
      <c r="Q124" s="10"/>
      <c r="R124" s="23"/>
      <c r="S124" s="33"/>
      <c r="T124" s="10"/>
      <c r="U124" s="23"/>
      <c r="V124" s="33"/>
      <c r="W124" s="10"/>
      <c r="X124" s="30"/>
      <c r="Y124" s="40"/>
      <c r="Z124" s="44"/>
      <c r="AA124" s="30">
        <f>ROUNDUP(IF($G$11&gt;I124,SUM(($G$11-I124)/I124)),0)</f>
        <v>0</v>
      </c>
    </row>
    <row r="125" spans="1:27" ht="15.75" thickBot="1" x14ac:dyDescent="0.3">
      <c r="A125" s="49" t="s">
        <v>8</v>
      </c>
      <c r="B125" s="19" t="s">
        <v>41</v>
      </c>
      <c r="C125" s="20" t="s">
        <v>19</v>
      </c>
      <c r="D125" s="71" t="s">
        <v>60</v>
      </c>
      <c r="E125" s="32">
        <f t="shared" si="9"/>
        <v>0</v>
      </c>
      <c r="F125" s="24">
        <v>10</v>
      </c>
      <c r="G125" s="34">
        <v>1</v>
      </c>
      <c r="H125" s="32">
        <f>IF($G$11&gt;=1,1,0)</f>
        <v>0</v>
      </c>
      <c r="I125" s="24">
        <v>50</v>
      </c>
      <c r="J125" s="34">
        <v>2</v>
      </c>
      <c r="K125" s="9">
        <f t="shared" si="10"/>
        <v>0</v>
      </c>
      <c r="L125" s="24">
        <v>100</v>
      </c>
      <c r="M125" s="34">
        <v>3</v>
      </c>
      <c r="N125" s="9">
        <f>IF($G$11&gt;I125,1,0)</f>
        <v>0</v>
      </c>
      <c r="O125" s="24"/>
      <c r="P125" s="34"/>
      <c r="Q125" s="12"/>
      <c r="R125" s="24"/>
      <c r="S125" s="34"/>
      <c r="T125" s="11"/>
      <c r="U125" s="24"/>
      <c r="V125" s="34"/>
      <c r="W125" s="12"/>
      <c r="X125" s="31"/>
      <c r="Y125" s="41"/>
      <c r="Z125" s="45"/>
      <c r="AA125" s="30">
        <f>ROUNDUP(IF($G$11&gt;L125,SUM(($G$11-L125)/75)),0)</f>
        <v>0</v>
      </c>
    </row>
    <row r="126" spans="1:27" x14ac:dyDescent="0.25">
      <c r="A126" s="48" t="s">
        <v>18</v>
      </c>
      <c r="B126" s="21" t="s">
        <v>42</v>
      </c>
      <c r="C126" s="21" t="s">
        <v>15</v>
      </c>
      <c r="D126" s="69" t="s">
        <v>23</v>
      </c>
      <c r="E126" s="56">
        <f t="shared" si="9"/>
        <v>0</v>
      </c>
      <c r="F126" s="25">
        <v>15</v>
      </c>
      <c r="G126" s="36">
        <v>1</v>
      </c>
      <c r="H126" s="9">
        <f>IF($G$9&gt;=1,1,0)</f>
        <v>0</v>
      </c>
      <c r="I126" s="25"/>
      <c r="J126" s="36"/>
      <c r="K126" s="13"/>
      <c r="L126" s="25"/>
      <c r="M126" s="36"/>
      <c r="N126" s="13"/>
      <c r="O126" s="25"/>
      <c r="P126" s="36"/>
      <c r="Q126" s="13"/>
      <c r="R126" s="25"/>
      <c r="S126" s="36"/>
      <c r="T126" s="13"/>
      <c r="U126" s="25"/>
      <c r="V126" s="36"/>
      <c r="W126" s="14"/>
      <c r="X126" s="29"/>
      <c r="Y126" s="42"/>
      <c r="Z126" s="46"/>
      <c r="AA126" s="29">
        <f>ROUNDUP(IF($G$9&gt;F126,SUM(($G$9-F126)/F126)),0)</f>
        <v>0</v>
      </c>
    </row>
    <row r="127" spans="1:27" x14ac:dyDescent="0.25">
      <c r="A127" s="48" t="s">
        <v>18</v>
      </c>
      <c r="B127" s="19" t="s">
        <v>42</v>
      </c>
      <c r="C127" s="19" t="s">
        <v>15</v>
      </c>
      <c r="D127" s="67" t="s">
        <v>60</v>
      </c>
      <c r="E127" s="56">
        <f t="shared" si="9"/>
        <v>0</v>
      </c>
      <c r="F127" s="23">
        <v>30</v>
      </c>
      <c r="G127" s="33">
        <v>1</v>
      </c>
      <c r="H127" s="9">
        <f>IF($G$9&gt;=1,1,0)</f>
        <v>0</v>
      </c>
      <c r="I127" s="23"/>
      <c r="J127" s="33"/>
      <c r="K127" s="9"/>
      <c r="L127" s="23"/>
      <c r="M127" s="33"/>
      <c r="N127" s="9"/>
      <c r="O127" s="23"/>
      <c r="P127" s="33"/>
      <c r="Q127" s="10"/>
      <c r="R127" s="23"/>
      <c r="S127" s="33"/>
      <c r="T127" s="9"/>
      <c r="U127" s="23"/>
      <c r="V127" s="33"/>
      <c r="W127" s="10"/>
      <c r="X127" s="30"/>
      <c r="Y127" s="40"/>
      <c r="Z127" s="44"/>
      <c r="AA127" s="30">
        <f>ROUNDUP(IF($G$9&gt;F127,SUM(($G$9-F127)/F127)),0)</f>
        <v>0</v>
      </c>
    </row>
    <row r="128" spans="1:27" x14ac:dyDescent="0.25">
      <c r="A128" s="48" t="s">
        <v>18</v>
      </c>
      <c r="B128" s="19" t="s">
        <v>42</v>
      </c>
      <c r="C128" s="19" t="s">
        <v>16</v>
      </c>
      <c r="D128" s="67" t="s">
        <v>23</v>
      </c>
      <c r="E128" s="56">
        <f t="shared" si="9"/>
        <v>0</v>
      </c>
      <c r="F128" s="23">
        <v>50</v>
      </c>
      <c r="G128" s="33">
        <v>0</v>
      </c>
      <c r="H128" s="9">
        <f>IF($G$12&gt;50,3,0)</f>
        <v>0</v>
      </c>
      <c r="I128" s="23">
        <v>110</v>
      </c>
      <c r="J128" s="33">
        <v>3</v>
      </c>
      <c r="K128" s="9">
        <f>IF($G$12&gt;I128,1,0)</f>
        <v>0</v>
      </c>
      <c r="L128" s="23">
        <v>170</v>
      </c>
      <c r="M128" s="33">
        <v>4</v>
      </c>
      <c r="N128" s="9">
        <f>IF($G$12&gt;L128,1,0)</f>
        <v>0</v>
      </c>
      <c r="O128" s="23">
        <v>230</v>
      </c>
      <c r="P128" s="33">
        <v>5</v>
      </c>
      <c r="Q128" s="9">
        <f>IF($G$12&gt;O128,1,0)</f>
        <v>0</v>
      </c>
      <c r="R128" s="23">
        <v>250</v>
      </c>
      <c r="S128" s="33">
        <v>6</v>
      </c>
      <c r="T128" s="9"/>
      <c r="U128" s="23"/>
      <c r="V128" s="33"/>
      <c r="W128" s="10"/>
      <c r="X128" s="30"/>
      <c r="Y128" s="40"/>
      <c r="Z128" s="44"/>
      <c r="AA128" s="30">
        <f>ROUNDUP(IF($G$12&gt;R128,SUM(($G$12-R128)/80)),0)</f>
        <v>0</v>
      </c>
    </row>
    <row r="129" spans="1:69" x14ac:dyDescent="0.25">
      <c r="A129" s="48" t="s">
        <v>18</v>
      </c>
      <c r="B129" s="19" t="s">
        <v>42</v>
      </c>
      <c r="C129" s="19" t="s">
        <v>16</v>
      </c>
      <c r="D129" s="67" t="s">
        <v>60</v>
      </c>
      <c r="E129" s="56">
        <f t="shared" si="9"/>
        <v>0</v>
      </c>
      <c r="F129" s="23">
        <v>50</v>
      </c>
      <c r="G129" s="33">
        <v>0</v>
      </c>
      <c r="H129" s="9">
        <f>IF($G$12&gt;50,1,0)</f>
        <v>0</v>
      </c>
      <c r="I129" s="23">
        <v>150</v>
      </c>
      <c r="J129" s="33">
        <v>1</v>
      </c>
      <c r="K129" s="9"/>
      <c r="L129" s="23"/>
      <c r="M129" s="33"/>
      <c r="N129" s="10"/>
      <c r="O129" s="23"/>
      <c r="P129" s="33"/>
      <c r="Q129" s="10"/>
      <c r="R129" s="23"/>
      <c r="S129" s="33"/>
      <c r="T129" s="9"/>
      <c r="U129" s="23"/>
      <c r="V129" s="33"/>
      <c r="W129" s="10"/>
      <c r="X129" s="30"/>
      <c r="Y129" s="40"/>
      <c r="Z129" s="44"/>
      <c r="AA129" s="30">
        <f>ROUNDUP(IF($G$12&gt;I129,SUM(($G$12-I129)/I129)),0)</f>
        <v>0</v>
      </c>
    </row>
    <row r="130" spans="1:69" x14ac:dyDescent="0.25">
      <c r="A130" s="48" t="s">
        <v>18</v>
      </c>
      <c r="B130" s="19" t="s">
        <v>41</v>
      </c>
      <c r="C130" s="19" t="s">
        <v>15</v>
      </c>
      <c r="D130" s="67" t="s">
        <v>23</v>
      </c>
      <c r="E130" s="56">
        <f t="shared" si="9"/>
        <v>0</v>
      </c>
      <c r="F130" s="23">
        <v>20</v>
      </c>
      <c r="G130" s="33">
        <v>1</v>
      </c>
      <c r="H130" s="9">
        <f>IF($G$8&gt;=1,1,0)</f>
        <v>0</v>
      </c>
      <c r="I130" s="23"/>
      <c r="J130" s="33"/>
      <c r="K130" s="9"/>
      <c r="L130" s="23"/>
      <c r="M130" s="33"/>
      <c r="N130" s="10"/>
      <c r="O130" s="23"/>
      <c r="P130" s="33"/>
      <c r="Q130" s="9"/>
      <c r="R130" s="23"/>
      <c r="S130" s="33"/>
      <c r="T130" s="10"/>
      <c r="U130" s="23"/>
      <c r="V130" s="33"/>
      <c r="W130" s="10"/>
      <c r="X130" s="30"/>
      <c r="Y130" s="40"/>
      <c r="Z130" s="44"/>
      <c r="AA130" s="30">
        <f>ROUNDUP(IF($G$8&gt;F130,SUM(($G$8-F130)/F130)),0)</f>
        <v>0</v>
      </c>
    </row>
    <row r="131" spans="1:69" x14ac:dyDescent="0.25">
      <c r="A131" s="48" t="s">
        <v>18</v>
      </c>
      <c r="B131" s="19" t="s">
        <v>41</v>
      </c>
      <c r="C131" s="19" t="s">
        <v>15</v>
      </c>
      <c r="D131" s="67" t="s">
        <v>24</v>
      </c>
      <c r="E131" s="56">
        <f t="shared" si="9"/>
        <v>0</v>
      </c>
      <c r="F131" s="23">
        <v>10</v>
      </c>
      <c r="G131" s="33">
        <v>0</v>
      </c>
      <c r="H131" s="9">
        <f>IF($G$8&gt;=10,1,0)</f>
        <v>0</v>
      </c>
      <c r="I131" s="23">
        <v>25</v>
      </c>
      <c r="J131" s="33">
        <v>1</v>
      </c>
      <c r="K131" s="9">
        <f>IF($G$8&gt;I131,1,0)</f>
        <v>0</v>
      </c>
      <c r="L131" s="23">
        <v>50</v>
      </c>
      <c r="M131" s="33">
        <v>2</v>
      </c>
      <c r="N131" s="9"/>
      <c r="O131" s="23"/>
      <c r="P131" s="33"/>
      <c r="Q131" s="9"/>
      <c r="R131" s="23"/>
      <c r="S131" s="33"/>
      <c r="T131" s="9"/>
      <c r="U131" s="23"/>
      <c r="V131" s="33"/>
      <c r="W131" s="10"/>
      <c r="X131" s="30"/>
      <c r="Y131" s="40"/>
      <c r="Z131" s="44"/>
      <c r="AA131" s="30">
        <f>ROUNDUP(IF($G$8&gt;L131,SUM(($G$8-L131)/L131)),0)</f>
        <v>0</v>
      </c>
    </row>
    <row r="132" spans="1:69" x14ac:dyDescent="0.25">
      <c r="A132" s="48" t="s">
        <v>18</v>
      </c>
      <c r="B132" s="19" t="s">
        <v>41</v>
      </c>
      <c r="C132" s="19" t="s">
        <v>15</v>
      </c>
      <c r="D132" s="67" t="s">
        <v>60</v>
      </c>
      <c r="E132" s="56">
        <f t="shared" si="9"/>
        <v>0</v>
      </c>
      <c r="F132" s="23">
        <v>30</v>
      </c>
      <c r="G132" s="33">
        <v>1</v>
      </c>
      <c r="H132" s="9">
        <f>IF($G$8&gt;=1,1,0)</f>
        <v>0</v>
      </c>
      <c r="I132" s="23"/>
      <c r="J132" s="33"/>
      <c r="K132" s="9"/>
      <c r="L132" s="23"/>
      <c r="M132" s="33"/>
      <c r="N132" s="9"/>
      <c r="O132" s="23"/>
      <c r="P132" s="33"/>
      <c r="Q132" s="9"/>
      <c r="R132" s="23"/>
      <c r="S132" s="33"/>
      <c r="T132" s="10"/>
      <c r="U132" s="23"/>
      <c r="V132" s="33"/>
      <c r="W132" s="10"/>
      <c r="X132" s="30"/>
      <c r="Y132" s="40"/>
      <c r="Z132" s="44"/>
      <c r="AA132" s="30">
        <f>ROUNDUP(IF($G$8&gt;F132,SUM(($G$8-F132)/F132)),0)</f>
        <v>0</v>
      </c>
    </row>
    <row r="133" spans="1:69" x14ac:dyDescent="0.25">
      <c r="A133" s="48" t="s">
        <v>18</v>
      </c>
      <c r="B133" s="19" t="s">
        <v>41</v>
      </c>
      <c r="C133" s="19" t="s">
        <v>16</v>
      </c>
      <c r="D133" s="67" t="s">
        <v>23</v>
      </c>
      <c r="E133" s="56">
        <f t="shared" si="9"/>
        <v>0</v>
      </c>
      <c r="F133" s="23">
        <v>50</v>
      </c>
      <c r="G133" s="33">
        <v>0</v>
      </c>
      <c r="H133" s="9">
        <f>IF($G$11&gt;50,1,0)</f>
        <v>0</v>
      </c>
      <c r="I133" s="23">
        <v>250</v>
      </c>
      <c r="J133" s="33">
        <v>1</v>
      </c>
      <c r="K133" s="9">
        <f>IF($G$11&gt;I133,1,0)</f>
        <v>0</v>
      </c>
      <c r="L133" s="23">
        <v>500</v>
      </c>
      <c r="M133" s="33">
        <v>2</v>
      </c>
      <c r="N133" s="9"/>
      <c r="O133" s="23"/>
      <c r="P133" s="33"/>
      <c r="Q133" s="10"/>
      <c r="R133" s="23"/>
      <c r="S133" s="33"/>
      <c r="T133" s="9"/>
      <c r="U133" s="23"/>
      <c r="V133" s="33"/>
      <c r="W133" s="10"/>
      <c r="X133" s="30"/>
      <c r="Y133" s="40"/>
      <c r="Z133" s="44"/>
      <c r="AA133" s="30">
        <f>ROUNDUP(IF($G$11&gt;L133,SUM(($G$11-L133)/L133)),0)</f>
        <v>0</v>
      </c>
    </row>
    <row r="134" spans="1:69" x14ac:dyDescent="0.25">
      <c r="A134" s="48" t="s">
        <v>18</v>
      </c>
      <c r="B134" s="19" t="s">
        <v>41</v>
      </c>
      <c r="C134" s="19" t="s">
        <v>16</v>
      </c>
      <c r="D134" s="67" t="s">
        <v>24</v>
      </c>
      <c r="E134" s="56">
        <f t="shared" si="9"/>
        <v>0</v>
      </c>
      <c r="F134" s="23">
        <v>50</v>
      </c>
      <c r="G134" s="33">
        <v>0</v>
      </c>
      <c r="H134" s="9">
        <f>IF($G$11&gt;50,1,0)</f>
        <v>0</v>
      </c>
      <c r="I134" s="23">
        <v>100</v>
      </c>
      <c r="J134" s="33">
        <v>1</v>
      </c>
      <c r="K134" s="9"/>
      <c r="L134" s="23"/>
      <c r="M134" s="33"/>
      <c r="N134" s="9"/>
      <c r="O134" s="23"/>
      <c r="P134" s="33"/>
      <c r="Q134" s="10"/>
      <c r="R134" s="23"/>
      <c r="S134" s="33"/>
      <c r="T134" s="9"/>
      <c r="U134" s="23"/>
      <c r="V134" s="33"/>
      <c r="W134" s="10"/>
      <c r="X134" s="30"/>
      <c r="Y134" s="40"/>
      <c r="Z134" s="44"/>
      <c r="AA134" s="30">
        <f>ROUNDUP(IF($G$11&gt;I134,SUM(($G$11-I134)/I134)),0)</f>
        <v>0</v>
      </c>
    </row>
    <row r="135" spans="1:69" ht="15.75" thickBot="1" x14ac:dyDescent="0.3">
      <c r="A135" s="48" t="s">
        <v>18</v>
      </c>
      <c r="B135" s="19" t="s">
        <v>41</v>
      </c>
      <c r="C135" s="20" t="s">
        <v>16</v>
      </c>
      <c r="D135" s="68" t="s">
        <v>60</v>
      </c>
      <c r="E135" s="32">
        <f t="shared" si="9"/>
        <v>0</v>
      </c>
      <c r="F135" s="24">
        <v>50</v>
      </c>
      <c r="G135" s="34">
        <v>0</v>
      </c>
      <c r="H135" s="32">
        <f>IF($G$11&gt;50,1,0)</f>
        <v>0</v>
      </c>
      <c r="I135" s="24">
        <v>150</v>
      </c>
      <c r="J135" s="34">
        <v>1</v>
      </c>
      <c r="K135" s="9"/>
      <c r="L135" s="24"/>
      <c r="M135" s="34"/>
      <c r="N135" s="9"/>
      <c r="O135" s="24"/>
      <c r="P135" s="34"/>
      <c r="Q135" s="12"/>
      <c r="R135" s="24"/>
      <c r="S135" s="34"/>
      <c r="T135" s="11"/>
      <c r="U135" s="24"/>
      <c r="V135" s="34"/>
      <c r="W135" s="12"/>
      <c r="X135" s="31"/>
      <c r="Y135" s="41"/>
      <c r="Z135" s="45"/>
      <c r="AA135" s="30">
        <f>ROUNDUP(IF($G$11&gt;I135,SUM(($G$11-I135)/I135)),0)</f>
        <v>0</v>
      </c>
    </row>
    <row r="136" spans="1:69" x14ac:dyDescent="0.25">
      <c r="A136" s="21" t="s">
        <v>11</v>
      </c>
      <c r="B136" s="21" t="s">
        <v>42</v>
      </c>
      <c r="C136" s="21" t="s">
        <v>15</v>
      </c>
      <c r="D136" s="69" t="s">
        <v>23</v>
      </c>
      <c r="E136" s="56">
        <f t="shared" si="9"/>
        <v>0</v>
      </c>
      <c r="F136" s="25">
        <v>15</v>
      </c>
      <c r="G136" s="36">
        <v>1</v>
      </c>
      <c r="H136" s="9">
        <f>IF($G$9&gt;=1,1,0)</f>
        <v>0</v>
      </c>
      <c r="I136" s="25"/>
      <c r="J136" s="36"/>
      <c r="K136" s="13"/>
      <c r="L136" s="25"/>
      <c r="M136" s="36"/>
      <c r="N136" s="13"/>
      <c r="O136" s="25"/>
      <c r="P136" s="36"/>
      <c r="Q136" s="13"/>
      <c r="R136" s="25"/>
      <c r="S136" s="36"/>
      <c r="T136" s="13"/>
      <c r="U136" s="25"/>
      <c r="V136" s="36"/>
      <c r="W136" s="14"/>
      <c r="X136" s="29"/>
      <c r="Y136" s="42"/>
      <c r="Z136" s="46"/>
      <c r="AA136" s="29">
        <f>ROUNDUP(IF($G$9&gt;F136,SUM(($G$9-F136)/F136)),0)</f>
        <v>0</v>
      </c>
    </row>
    <row r="137" spans="1:69" x14ac:dyDescent="0.25">
      <c r="A137" s="19" t="s">
        <v>11</v>
      </c>
      <c r="B137" s="19" t="s">
        <v>42</v>
      </c>
      <c r="C137" s="19" t="s">
        <v>15</v>
      </c>
      <c r="D137" s="67" t="s">
        <v>60</v>
      </c>
      <c r="E137" s="56">
        <f t="shared" si="9"/>
        <v>0</v>
      </c>
      <c r="F137" s="23">
        <v>30</v>
      </c>
      <c r="G137" s="33">
        <v>1</v>
      </c>
      <c r="H137" s="9">
        <f>IF($G$9&gt;=1,1,0)</f>
        <v>0</v>
      </c>
      <c r="I137" s="23"/>
      <c r="J137" s="33"/>
      <c r="K137" s="9"/>
      <c r="L137" s="23"/>
      <c r="M137" s="33"/>
      <c r="N137" s="9"/>
      <c r="O137" s="23"/>
      <c r="P137" s="33"/>
      <c r="Q137" s="10"/>
      <c r="R137" s="23"/>
      <c r="S137" s="33"/>
      <c r="T137" s="9"/>
      <c r="U137" s="23"/>
      <c r="V137" s="33"/>
      <c r="W137" s="10"/>
      <c r="X137" s="30"/>
      <c r="Y137" s="40"/>
      <c r="Z137" s="44"/>
      <c r="AA137" s="30">
        <f>ROUNDUP(IF($G$9&gt;F137,SUM(($G$9-F137)/F137)),0)</f>
        <v>0</v>
      </c>
    </row>
    <row r="138" spans="1:69" x14ac:dyDescent="0.25">
      <c r="A138" s="19" t="s">
        <v>11</v>
      </c>
      <c r="B138" s="19" t="s">
        <v>42</v>
      </c>
      <c r="C138" s="19" t="s">
        <v>20</v>
      </c>
      <c r="D138" s="67" t="s">
        <v>23</v>
      </c>
      <c r="E138" s="56">
        <f t="shared" si="9"/>
        <v>0</v>
      </c>
      <c r="F138" s="23">
        <v>10</v>
      </c>
      <c r="G138" s="33">
        <v>1</v>
      </c>
      <c r="H138" s="9">
        <f>IF($G$15&gt;=1,1,0)</f>
        <v>0</v>
      </c>
      <c r="I138" s="23"/>
      <c r="J138" s="33"/>
      <c r="K138" s="9"/>
      <c r="L138" s="23"/>
      <c r="M138" s="33"/>
      <c r="N138" s="10"/>
      <c r="O138" s="23"/>
      <c r="P138" s="33"/>
      <c r="Q138" s="10"/>
      <c r="R138" s="23"/>
      <c r="S138" s="33"/>
      <c r="T138" s="9"/>
      <c r="U138" s="23"/>
      <c r="V138" s="33"/>
      <c r="W138" s="10"/>
      <c r="X138" s="30"/>
      <c r="Y138" s="40"/>
      <c r="Z138" s="44"/>
      <c r="AA138" s="30">
        <f>ROUNDUP(IF($G$15&gt;F138,SUM(($G$15-F138)/F138)),0)</f>
        <v>0</v>
      </c>
    </row>
    <row r="139" spans="1:69" s="153" customFormat="1" x14ac:dyDescent="0.25">
      <c r="A139" s="19" t="s">
        <v>11</v>
      </c>
      <c r="B139" s="19" t="s">
        <v>42</v>
      </c>
      <c r="C139" s="19" t="s">
        <v>20</v>
      </c>
      <c r="D139" s="67" t="s">
        <v>60</v>
      </c>
      <c r="E139" s="56">
        <f t="shared" si="9"/>
        <v>0</v>
      </c>
      <c r="F139" s="23">
        <v>10</v>
      </c>
      <c r="G139" s="33">
        <v>1</v>
      </c>
      <c r="H139" s="9">
        <f>IF($G$15&gt;=1,1,0)</f>
        <v>0</v>
      </c>
      <c r="I139" s="23"/>
      <c r="J139" s="33"/>
      <c r="K139" s="9"/>
      <c r="L139" s="23"/>
      <c r="M139" s="33"/>
      <c r="N139" s="9"/>
      <c r="O139" s="23"/>
      <c r="P139" s="33"/>
      <c r="Q139" s="9"/>
      <c r="R139" s="23"/>
      <c r="S139" s="33"/>
      <c r="T139" s="9"/>
      <c r="U139" s="23"/>
      <c r="V139" s="33"/>
      <c r="W139" s="9"/>
      <c r="X139" s="30"/>
      <c r="Y139" s="40"/>
      <c r="Z139" s="44"/>
      <c r="AA139" s="30">
        <f>ROUNDUP(IF($G$15&gt;F139,SUM(($G$15-F139)/F139)),0)</f>
        <v>0</v>
      </c>
      <c r="AB139" s="167"/>
      <c r="AC139" s="167"/>
      <c r="AD139" s="167"/>
      <c r="AE139" s="167"/>
      <c r="AF139" s="167"/>
      <c r="AG139" s="167"/>
      <c r="AH139" s="167"/>
      <c r="AI139" s="167"/>
      <c r="AJ139" s="167"/>
      <c r="AK139" s="167"/>
      <c r="AL139" s="167"/>
      <c r="AM139" s="167"/>
      <c r="AN139" s="167"/>
      <c r="AO139" s="167"/>
      <c r="AP139" s="167"/>
      <c r="AQ139" s="167"/>
      <c r="AR139" s="167"/>
      <c r="AS139" s="167"/>
      <c r="AT139" s="167"/>
      <c r="AU139" s="167"/>
      <c r="AV139" s="167"/>
      <c r="AW139" s="167"/>
      <c r="AX139" s="167"/>
      <c r="AY139" s="167"/>
      <c r="AZ139" s="167"/>
      <c r="BA139" s="167"/>
      <c r="BB139" s="167"/>
      <c r="BC139" s="167"/>
      <c r="BD139" s="167"/>
      <c r="BE139" s="167"/>
      <c r="BF139" s="167"/>
      <c r="BG139" s="167"/>
      <c r="BH139" s="167"/>
      <c r="BI139" s="167"/>
      <c r="BJ139" s="167"/>
      <c r="BK139" s="167"/>
      <c r="BL139" s="167"/>
      <c r="BM139" s="167"/>
      <c r="BN139" s="167"/>
      <c r="BO139" s="167"/>
      <c r="BP139" s="167"/>
      <c r="BQ139" s="167"/>
    </row>
    <row r="140" spans="1:69" x14ac:dyDescent="0.25">
      <c r="A140" s="19" t="s">
        <v>11</v>
      </c>
      <c r="B140" s="19" t="s">
        <v>42</v>
      </c>
      <c r="C140" s="19" t="s">
        <v>21</v>
      </c>
      <c r="D140" s="67" t="s">
        <v>23</v>
      </c>
      <c r="E140" s="56">
        <f t="shared" si="9"/>
        <v>0</v>
      </c>
      <c r="F140" s="23">
        <v>15</v>
      </c>
      <c r="G140" s="33">
        <v>1</v>
      </c>
      <c r="H140" s="9">
        <f>IF($G$12&gt;=1,1,0)</f>
        <v>0</v>
      </c>
      <c r="I140" s="23">
        <v>60</v>
      </c>
      <c r="J140" s="33">
        <v>2</v>
      </c>
      <c r="K140" s="9">
        <f>IF($G$12&gt;=F140,1,0)</f>
        <v>0</v>
      </c>
      <c r="L140" s="23">
        <v>120</v>
      </c>
      <c r="M140" s="33">
        <v>3</v>
      </c>
      <c r="N140" s="9">
        <f>IF($G$12&gt;=I140,1,0)</f>
        <v>0</v>
      </c>
      <c r="O140" s="23"/>
      <c r="P140" s="33"/>
      <c r="Q140" s="10"/>
      <c r="R140" s="23"/>
      <c r="S140" s="33"/>
      <c r="T140" s="9"/>
      <c r="U140" s="23"/>
      <c r="V140" s="33"/>
      <c r="W140" s="10"/>
      <c r="X140" s="30"/>
      <c r="Y140" s="40"/>
      <c r="Z140" s="44"/>
      <c r="AA140" s="30">
        <f>ROUNDUP(IF($G$12&gt;L140,SUM(($G$12-L140)/70)),0)</f>
        <v>0</v>
      </c>
    </row>
    <row r="141" spans="1:69" x14ac:dyDescent="0.25">
      <c r="A141" s="19" t="s">
        <v>11</v>
      </c>
      <c r="B141" s="19" t="s">
        <v>42</v>
      </c>
      <c r="C141" s="19" t="s">
        <v>21</v>
      </c>
      <c r="D141" s="67" t="s">
        <v>60</v>
      </c>
      <c r="E141" s="56">
        <f t="shared" si="9"/>
        <v>0</v>
      </c>
      <c r="F141" s="23">
        <v>60</v>
      </c>
      <c r="G141" s="33">
        <v>1</v>
      </c>
      <c r="H141" s="9">
        <f>IF($G$12&gt;=1,1,0)</f>
        <v>0</v>
      </c>
      <c r="I141" s="23">
        <v>200</v>
      </c>
      <c r="J141" s="33">
        <v>2</v>
      </c>
      <c r="K141" s="9">
        <f>IF($G$12&gt;=F141,1,0)</f>
        <v>0</v>
      </c>
      <c r="L141" s="23">
        <v>350</v>
      </c>
      <c r="M141" s="33">
        <v>3</v>
      </c>
      <c r="N141" s="9">
        <f>IF($G$12&gt;=I141,1,0)</f>
        <v>0</v>
      </c>
      <c r="O141" s="23"/>
      <c r="P141" s="33"/>
      <c r="Q141" s="10"/>
      <c r="R141" s="23"/>
      <c r="S141" s="33"/>
      <c r="T141" s="9"/>
      <c r="U141" s="23"/>
      <c r="V141" s="33"/>
      <c r="W141" s="10"/>
      <c r="X141" s="30"/>
      <c r="Y141" s="40"/>
      <c r="Z141" s="44"/>
      <c r="AA141" s="30">
        <f>ROUNDUP(IF($G$12&gt;L141,SUM(($G$12-L141)/150)),0)</f>
        <v>0</v>
      </c>
    </row>
    <row r="142" spans="1:69" x14ac:dyDescent="0.25">
      <c r="A142" s="19" t="s">
        <v>11</v>
      </c>
      <c r="B142" s="19" t="s">
        <v>41</v>
      </c>
      <c r="C142" s="19" t="s">
        <v>15</v>
      </c>
      <c r="D142" s="67" t="s">
        <v>23</v>
      </c>
      <c r="E142" s="56">
        <f t="shared" si="9"/>
        <v>0</v>
      </c>
      <c r="F142" s="23">
        <v>20</v>
      </c>
      <c r="G142" s="33">
        <v>1</v>
      </c>
      <c r="H142" s="9">
        <f>IF($G$8&gt;=1,1,0)</f>
        <v>0</v>
      </c>
      <c r="I142" s="23"/>
      <c r="J142" s="33"/>
      <c r="K142" s="9"/>
      <c r="L142" s="23"/>
      <c r="M142" s="33"/>
      <c r="N142" s="10"/>
      <c r="O142" s="23"/>
      <c r="P142" s="33"/>
      <c r="Q142" s="9"/>
      <c r="R142" s="23"/>
      <c r="S142" s="33"/>
      <c r="T142" s="10"/>
      <c r="U142" s="23"/>
      <c r="V142" s="33"/>
      <c r="W142" s="10"/>
      <c r="X142" s="30"/>
      <c r="Y142" s="40"/>
      <c r="Z142" s="44"/>
      <c r="AA142" s="30">
        <f>ROUNDUP(IF($G$8&gt;F142,SUM(($G$8-F142)/F142)),0)</f>
        <v>0</v>
      </c>
    </row>
    <row r="143" spans="1:69" x14ac:dyDescent="0.25">
      <c r="A143" s="19" t="s">
        <v>11</v>
      </c>
      <c r="B143" s="19" t="s">
        <v>41</v>
      </c>
      <c r="C143" s="19" t="s">
        <v>15</v>
      </c>
      <c r="D143" s="67" t="s">
        <v>24</v>
      </c>
      <c r="E143" s="56">
        <f t="shared" si="9"/>
        <v>0</v>
      </c>
      <c r="F143" s="23">
        <v>10</v>
      </c>
      <c r="G143" s="33">
        <v>0</v>
      </c>
      <c r="H143" s="9">
        <f>IF($G$8&gt;10,1,0)</f>
        <v>0</v>
      </c>
      <c r="I143" s="23">
        <v>25</v>
      </c>
      <c r="J143" s="33">
        <v>1</v>
      </c>
      <c r="K143" s="9">
        <f>IF($G$8&gt;I143,1,0)</f>
        <v>0</v>
      </c>
      <c r="L143" s="23">
        <v>50</v>
      </c>
      <c r="M143" s="33">
        <v>2</v>
      </c>
      <c r="N143" s="9"/>
      <c r="O143" s="23"/>
      <c r="P143" s="33"/>
      <c r="Q143" s="9"/>
      <c r="R143" s="23"/>
      <c r="S143" s="33"/>
      <c r="T143" s="9"/>
      <c r="U143" s="23"/>
      <c r="V143" s="33"/>
      <c r="W143" s="10"/>
      <c r="X143" s="30"/>
      <c r="Y143" s="40"/>
      <c r="Z143" s="44"/>
      <c r="AA143" s="30">
        <f>ROUNDUP(IF($G$8&gt;L143,SUM(($G$8-L143)/L143)),0)</f>
        <v>0</v>
      </c>
    </row>
    <row r="144" spans="1:69" x14ac:dyDescent="0.25">
      <c r="A144" s="19" t="s">
        <v>11</v>
      </c>
      <c r="B144" s="19" t="s">
        <v>41</v>
      </c>
      <c r="C144" s="19" t="s">
        <v>15</v>
      </c>
      <c r="D144" s="67" t="s">
        <v>60</v>
      </c>
      <c r="E144" s="56">
        <f t="shared" si="9"/>
        <v>0</v>
      </c>
      <c r="F144" s="23">
        <v>30</v>
      </c>
      <c r="G144" s="33">
        <v>1</v>
      </c>
      <c r="H144" s="9">
        <f>IF($G$8&gt;=1,1,0)</f>
        <v>0</v>
      </c>
      <c r="I144" s="23"/>
      <c r="J144" s="33"/>
      <c r="K144" s="9"/>
      <c r="L144" s="23"/>
      <c r="M144" s="33"/>
      <c r="N144" s="9"/>
      <c r="O144" s="23"/>
      <c r="P144" s="33"/>
      <c r="Q144" s="9"/>
      <c r="R144" s="23"/>
      <c r="S144" s="33"/>
      <c r="T144" s="10"/>
      <c r="U144" s="23"/>
      <c r="V144" s="33"/>
      <c r="W144" s="10"/>
      <c r="X144" s="30"/>
      <c r="Y144" s="40"/>
      <c r="Z144" s="44"/>
      <c r="AA144" s="30">
        <f>ROUNDUP(IF($G$8&gt;F144,SUM(($G$8-F144)/F144)),0)</f>
        <v>0</v>
      </c>
    </row>
    <row r="145" spans="1:68" x14ac:dyDescent="0.25">
      <c r="A145" s="19" t="s">
        <v>11</v>
      </c>
      <c r="B145" s="19" t="s">
        <v>41</v>
      </c>
      <c r="C145" s="19" t="s">
        <v>20</v>
      </c>
      <c r="D145" s="67" t="s">
        <v>23</v>
      </c>
      <c r="E145" s="56">
        <f t="shared" si="9"/>
        <v>0</v>
      </c>
      <c r="F145" s="23">
        <v>20</v>
      </c>
      <c r="G145" s="33">
        <v>1</v>
      </c>
      <c r="H145" s="9">
        <f>IF($G$14&gt;=1,1,0)</f>
        <v>0</v>
      </c>
      <c r="I145" s="23"/>
      <c r="J145" s="33"/>
      <c r="K145" s="9"/>
      <c r="L145" s="23"/>
      <c r="M145" s="33"/>
      <c r="N145" s="10"/>
      <c r="O145" s="23"/>
      <c r="P145" s="33"/>
      <c r="Q145" s="10"/>
      <c r="R145" s="23"/>
      <c r="S145" s="33"/>
      <c r="T145" s="10"/>
      <c r="U145" s="23"/>
      <c r="V145" s="33"/>
      <c r="W145" s="10"/>
      <c r="X145" s="30"/>
      <c r="Y145" s="40"/>
      <c r="Z145" s="44"/>
      <c r="AA145" s="30">
        <f>ROUNDUP(IF($G$14&gt;F145,SUM(($G$14-F145)/F145)),0)</f>
        <v>0</v>
      </c>
    </row>
    <row r="146" spans="1:68" x14ac:dyDescent="0.25">
      <c r="A146" s="19" t="s">
        <v>11</v>
      </c>
      <c r="B146" s="19" t="s">
        <v>41</v>
      </c>
      <c r="C146" s="19" t="s">
        <v>20</v>
      </c>
      <c r="D146" s="67" t="s">
        <v>24</v>
      </c>
      <c r="E146" s="56">
        <f t="shared" si="9"/>
        <v>0</v>
      </c>
      <c r="F146" s="23">
        <v>10</v>
      </c>
      <c r="G146" s="33">
        <v>1</v>
      </c>
      <c r="H146" s="9">
        <f t="shared" ref="H146:H149" si="11">IF($G$14&gt;=1,1,0)</f>
        <v>0</v>
      </c>
      <c r="I146" s="23"/>
      <c r="J146" s="33"/>
      <c r="K146" s="9"/>
      <c r="L146" s="23"/>
      <c r="M146" s="33"/>
      <c r="N146" s="10"/>
      <c r="O146" s="23"/>
      <c r="P146" s="33"/>
      <c r="Q146" s="10"/>
      <c r="R146" s="23"/>
      <c r="S146" s="33"/>
      <c r="T146" s="10"/>
      <c r="U146" s="23"/>
      <c r="V146" s="33"/>
      <c r="W146" s="10"/>
      <c r="X146" s="30"/>
      <c r="Y146" s="40"/>
      <c r="Z146" s="44"/>
      <c r="AA146" s="30">
        <f>ROUNDUP(IF($G$14&gt;F146,SUM(($G$14-F146)/F146)),0)</f>
        <v>0</v>
      </c>
    </row>
    <row r="147" spans="1:68" x14ac:dyDescent="0.25">
      <c r="A147" s="19" t="s">
        <v>11</v>
      </c>
      <c r="B147" s="19" t="s">
        <v>41</v>
      </c>
      <c r="C147" s="19" t="s">
        <v>20</v>
      </c>
      <c r="D147" s="67" t="s">
        <v>69</v>
      </c>
      <c r="E147" s="56">
        <f t="shared" ref="E147:E148" si="12">SUM(H147,K147,N147,Q147,T147,W147,Z147,AA147)</f>
        <v>0</v>
      </c>
      <c r="F147" s="23">
        <v>10</v>
      </c>
      <c r="G147" s="33">
        <v>1</v>
      </c>
      <c r="H147" s="9">
        <f t="shared" si="11"/>
        <v>0</v>
      </c>
      <c r="I147" s="23"/>
      <c r="J147" s="33"/>
      <c r="K147" s="9"/>
      <c r="L147" s="23"/>
      <c r="M147" s="33"/>
      <c r="N147" s="10"/>
      <c r="O147" s="23"/>
      <c r="P147" s="33"/>
      <c r="Q147" s="10"/>
      <c r="R147" s="23"/>
      <c r="S147" s="33"/>
      <c r="T147" s="10"/>
      <c r="U147" s="23"/>
      <c r="V147" s="33"/>
      <c r="W147" s="10"/>
      <c r="X147" s="30"/>
      <c r="Y147" s="40"/>
      <c r="Z147" s="44"/>
      <c r="AA147" s="30">
        <f t="shared" ref="AA147" si="13">ROUNDUP(IF($G$14&gt;F147,SUM(($G$14-F147)/F147)),0)</f>
        <v>0</v>
      </c>
    </row>
    <row r="148" spans="1:68" x14ac:dyDescent="0.25">
      <c r="A148" s="19" t="s">
        <v>11</v>
      </c>
      <c r="B148" s="19" t="s">
        <v>42</v>
      </c>
      <c r="C148" s="19" t="s">
        <v>20</v>
      </c>
      <c r="D148" s="67" t="s">
        <v>69</v>
      </c>
      <c r="E148" s="56">
        <f t="shared" si="12"/>
        <v>0</v>
      </c>
      <c r="F148" s="23">
        <v>10</v>
      </c>
      <c r="G148" s="33">
        <v>1</v>
      </c>
      <c r="H148" s="9">
        <f t="shared" si="11"/>
        <v>0</v>
      </c>
      <c r="I148" s="23"/>
      <c r="J148" s="33"/>
      <c r="K148" s="9"/>
      <c r="L148" s="23"/>
      <c r="M148" s="33"/>
      <c r="N148" s="10"/>
      <c r="O148" s="23"/>
      <c r="P148" s="33"/>
      <c r="Q148" s="10"/>
      <c r="R148" s="23"/>
      <c r="S148" s="33"/>
      <c r="T148" s="10"/>
      <c r="U148" s="23"/>
      <c r="V148" s="33"/>
      <c r="W148" s="10"/>
      <c r="X148" s="30"/>
      <c r="Y148" s="40"/>
      <c r="Z148" s="44"/>
      <c r="AA148" s="30">
        <f>ROUNDUP(IF($G$15&gt;F148,SUM(($G$15-F148)/F148)),0)</f>
        <v>0</v>
      </c>
    </row>
    <row r="149" spans="1:68" s="153" customFormat="1" x14ac:dyDescent="0.25">
      <c r="A149" s="19" t="s">
        <v>11</v>
      </c>
      <c r="B149" s="19" t="s">
        <v>41</v>
      </c>
      <c r="C149" s="19" t="s">
        <v>20</v>
      </c>
      <c r="D149" s="67" t="s">
        <v>60</v>
      </c>
      <c r="E149" s="56">
        <f t="shared" si="9"/>
        <v>0</v>
      </c>
      <c r="F149" s="23">
        <v>10</v>
      </c>
      <c r="G149" s="33">
        <v>1</v>
      </c>
      <c r="H149" s="9">
        <f t="shared" si="11"/>
        <v>0</v>
      </c>
      <c r="I149" s="23"/>
      <c r="J149" s="33"/>
      <c r="K149" s="9"/>
      <c r="L149" s="23"/>
      <c r="M149" s="33"/>
      <c r="N149" s="9"/>
      <c r="O149" s="23"/>
      <c r="P149" s="33"/>
      <c r="Q149" s="9"/>
      <c r="R149" s="23"/>
      <c r="S149" s="33"/>
      <c r="T149" s="9"/>
      <c r="U149" s="23"/>
      <c r="V149" s="33"/>
      <c r="W149" s="9"/>
      <c r="X149" s="30"/>
      <c r="Y149" s="40"/>
      <c r="Z149" s="44"/>
      <c r="AA149" s="30">
        <f>ROUNDUP(IF($G$14&gt;F149,SUM(($G$14-F149)/F149)),0)</f>
        <v>0</v>
      </c>
      <c r="AB149" s="167"/>
      <c r="AC149" s="167"/>
      <c r="AD149" s="167"/>
      <c r="AE149" s="167"/>
      <c r="AF149" s="167"/>
      <c r="AG149" s="167"/>
      <c r="AH149" s="167"/>
      <c r="AI149" s="167"/>
      <c r="AJ149" s="167"/>
      <c r="AK149" s="167"/>
      <c r="AL149" s="167"/>
      <c r="AM149" s="167"/>
      <c r="AN149" s="167"/>
      <c r="AO149" s="167"/>
      <c r="AP149" s="167"/>
      <c r="AQ149" s="167"/>
      <c r="AR149" s="167"/>
      <c r="AS149" s="167"/>
      <c r="AT149" s="167"/>
      <c r="AU149" s="167"/>
      <c r="AV149" s="167"/>
      <c r="AW149" s="167"/>
      <c r="AX149" s="167"/>
      <c r="AY149" s="167"/>
      <c r="AZ149" s="167"/>
      <c r="BA149" s="167"/>
      <c r="BB149" s="167"/>
      <c r="BC149" s="167"/>
      <c r="BD149" s="167"/>
      <c r="BE149" s="167"/>
      <c r="BF149" s="167"/>
      <c r="BG149" s="167"/>
      <c r="BH149" s="167"/>
      <c r="BI149" s="167"/>
      <c r="BJ149" s="167"/>
      <c r="BK149" s="167"/>
      <c r="BL149" s="167"/>
      <c r="BM149" s="167"/>
      <c r="BN149" s="167"/>
      <c r="BO149" s="167"/>
      <c r="BP149" s="167"/>
    </row>
    <row r="150" spans="1:68" x14ac:dyDescent="0.25">
      <c r="A150" s="19" t="s">
        <v>11</v>
      </c>
      <c r="B150" s="19" t="s">
        <v>41</v>
      </c>
      <c r="C150" s="19" t="s">
        <v>21</v>
      </c>
      <c r="D150" s="67" t="s">
        <v>23</v>
      </c>
      <c r="E150" s="56">
        <f t="shared" si="9"/>
        <v>0</v>
      </c>
      <c r="F150" s="23">
        <v>250</v>
      </c>
      <c r="G150" s="33">
        <v>1</v>
      </c>
      <c r="H150" s="9">
        <f>IF($G$11&gt;=1,1,0)</f>
        <v>0</v>
      </c>
      <c r="I150" s="23">
        <v>500</v>
      </c>
      <c r="J150" s="33">
        <v>2</v>
      </c>
      <c r="K150" s="9">
        <f>IF($G$11&gt;F150,1,0)</f>
        <v>0</v>
      </c>
      <c r="L150" s="23"/>
      <c r="M150" s="33"/>
      <c r="N150" s="10"/>
      <c r="O150" s="23"/>
      <c r="P150" s="33"/>
      <c r="Q150" s="10"/>
      <c r="R150" s="23"/>
      <c r="S150" s="33"/>
      <c r="T150" s="9"/>
      <c r="U150" s="23"/>
      <c r="V150" s="33"/>
      <c r="W150" s="10"/>
      <c r="X150" s="30"/>
      <c r="Y150" s="40"/>
      <c r="Z150" s="44"/>
      <c r="AA150" s="30">
        <f>ROUNDUP(IF($G$11&gt;I150,SUM(($G$11-I150)/I150)),0)</f>
        <v>0</v>
      </c>
    </row>
    <row r="151" spans="1:68" x14ac:dyDescent="0.25">
      <c r="A151" s="19" t="s">
        <v>11</v>
      </c>
      <c r="B151" s="19" t="s">
        <v>41</v>
      </c>
      <c r="C151" s="19" t="s">
        <v>21</v>
      </c>
      <c r="D151" s="67" t="s">
        <v>24</v>
      </c>
      <c r="E151" s="56">
        <f t="shared" si="9"/>
        <v>0</v>
      </c>
      <c r="F151" s="23">
        <v>100</v>
      </c>
      <c r="G151" s="33">
        <v>1</v>
      </c>
      <c r="H151" s="9">
        <f>IF($G$11&gt;=1,1,0)</f>
        <v>0</v>
      </c>
      <c r="I151" s="23"/>
      <c r="J151" s="33"/>
      <c r="K151" s="9"/>
      <c r="L151" s="23"/>
      <c r="M151" s="33"/>
      <c r="N151" s="10"/>
      <c r="O151" s="23"/>
      <c r="P151" s="33"/>
      <c r="Q151" s="10"/>
      <c r="R151" s="23"/>
      <c r="S151" s="33"/>
      <c r="T151" s="9"/>
      <c r="U151" s="23"/>
      <c r="V151" s="33"/>
      <c r="W151" s="10"/>
      <c r="X151" s="30"/>
      <c r="Y151" s="40"/>
      <c r="Z151" s="44"/>
      <c r="AA151" s="30">
        <f>ROUNDUP(IF($G$11&gt;F151,SUM(($G$11-F151)/F151)),0)</f>
        <v>0</v>
      </c>
    </row>
    <row r="152" spans="1:68" ht="15.75" thickBot="1" x14ac:dyDescent="0.3">
      <c r="A152" s="20" t="s">
        <v>11</v>
      </c>
      <c r="B152" s="20" t="s">
        <v>41</v>
      </c>
      <c r="C152" s="20" t="s">
        <v>21</v>
      </c>
      <c r="D152" s="68" t="s">
        <v>60</v>
      </c>
      <c r="E152" s="32">
        <f t="shared" si="9"/>
        <v>0</v>
      </c>
      <c r="F152" s="24">
        <v>150</v>
      </c>
      <c r="G152" s="34">
        <v>1</v>
      </c>
      <c r="H152" s="32">
        <f>IF($G$11&gt;=1,1,0)</f>
        <v>0</v>
      </c>
      <c r="I152" s="24"/>
      <c r="J152" s="34"/>
      <c r="K152" s="11"/>
      <c r="L152" s="24"/>
      <c r="M152" s="34"/>
      <c r="N152" s="12"/>
      <c r="O152" s="24"/>
      <c r="P152" s="34"/>
      <c r="Q152" s="12"/>
      <c r="R152" s="24"/>
      <c r="S152" s="34"/>
      <c r="T152" s="11"/>
      <c r="U152" s="24"/>
      <c r="V152" s="34"/>
      <c r="W152" s="12"/>
      <c r="X152" s="31"/>
      <c r="Y152" s="41"/>
      <c r="Z152" s="45"/>
      <c r="AA152" s="31">
        <f>ROUNDUP(IF($G$11&gt;F152,SUM(($G$11-F152)/F152)),0)</f>
        <v>0</v>
      </c>
    </row>
    <row r="153" spans="1:68" x14ac:dyDescent="0.25">
      <c r="A153" s="19" t="s">
        <v>72</v>
      </c>
      <c r="B153" s="19" t="s">
        <v>42</v>
      </c>
      <c r="C153" s="19" t="s">
        <v>15</v>
      </c>
      <c r="D153" s="67" t="s">
        <v>23</v>
      </c>
      <c r="E153" s="56">
        <f>SUM(H153,K153,N153,Q153,T153,W153,Z153,AA153)</f>
        <v>0</v>
      </c>
      <c r="F153" s="23">
        <v>15</v>
      </c>
      <c r="G153" s="36">
        <v>1</v>
      </c>
      <c r="H153" s="9">
        <f>IF($G$9&gt;=1,1,0)</f>
        <v>0</v>
      </c>
      <c r="I153" s="23"/>
      <c r="J153" s="36"/>
      <c r="K153" s="9"/>
      <c r="L153" s="23"/>
      <c r="M153" s="36"/>
      <c r="N153" s="9"/>
      <c r="O153" s="23"/>
      <c r="P153" s="33"/>
      <c r="Q153" s="9"/>
      <c r="R153" s="23"/>
      <c r="S153" s="36"/>
      <c r="T153" s="9"/>
      <c r="U153" s="23"/>
      <c r="V153" s="33"/>
      <c r="W153" s="10"/>
      <c r="X153" s="23"/>
      <c r="Y153" s="33"/>
      <c r="Z153" s="9"/>
      <c r="AA153" s="30">
        <f>ROUNDUP(IF($G$9&gt;F153,SUM(($G$9-F153)/F153)),0)</f>
        <v>0</v>
      </c>
    </row>
    <row r="154" spans="1:68" x14ac:dyDescent="0.25">
      <c r="A154" s="19" t="s">
        <v>72</v>
      </c>
      <c r="B154" s="19" t="s">
        <v>42</v>
      </c>
      <c r="C154" s="19" t="s">
        <v>15</v>
      </c>
      <c r="D154" s="67" t="s">
        <v>60</v>
      </c>
      <c r="E154" s="56">
        <f t="shared" ref="E154:E157" si="14">SUM(H154,K154,N154,Q154,T154,W154,Z154,AA154)</f>
        <v>0</v>
      </c>
      <c r="F154" s="23">
        <v>30</v>
      </c>
      <c r="G154" s="33">
        <v>1</v>
      </c>
      <c r="H154" s="9">
        <f>IF($G$9&gt;=1,1,0)</f>
        <v>0</v>
      </c>
      <c r="I154" s="23"/>
      <c r="J154" s="33"/>
      <c r="K154" s="9"/>
      <c r="L154" s="23"/>
      <c r="M154" s="33"/>
      <c r="N154" s="9"/>
      <c r="O154" s="23"/>
      <c r="P154" s="33"/>
      <c r="Q154" s="9"/>
      <c r="R154" s="23"/>
      <c r="S154" s="33"/>
      <c r="T154" s="9"/>
      <c r="U154" s="23"/>
      <c r="V154" s="33"/>
      <c r="W154" s="10"/>
      <c r="X154" s="23"/>
      <c r="Y154" s="33"/>
      <c r="Z154" s="9"/>
      <c r="AA154" s="30">
        <f>ROUNDUP(IF($G$9&gt;F154,SUM(($G$9-F154)/F154)),0)</f>
        <v>0</v>
      </c>
    </row>
    <row r="155" spans="1:68" x14ac:dyDescent="0.25">
      <c r="A155" s="19" t="s">
        <v>72</v>
      </c>
      <c r="B155" s="19" t="s">
        <v>41</v>
      </c>
      <c r="C155" s="19" t="s">
        <v>15</v>
      </c>
      <c r="D155" s="67" t="s">
        <v>23</v>
      </c>
      <c r="E155" s="56">
        <f t="shared" si="14"/>
        <v>0</v>
      </c>
      <c r="F155" s="23">
        <v>20</v>
      </c>
      <c r="G155" s="33">
        <v>1</v>
      </c>
      <c r="H155" s="9">
        <f>IF($G$8&gt;=1,1,0)</f>
        <v>0</v>
      </c>
      <c r="I155" s="23"/>
      <c r="J155" s="33"/>
      <c r="K155" s="9"/>
      <c r="L155" s="23"/>
      <c r="M155" s="33"/>
      <c r="N155" s="10"/>
      <c r="O155" s="23"/>
      <c r="P155" s="33"/>
      <c r="Q155" s="9"/>
      <c r="R155" s="23"/>
      <c r="S155" s="33"/>
      <c r="T155" s="9"/>
      <c r="U155" s="23"/>
      <c r="V155" s="33"/>
      <c r="W155" s="10"/>
      <c r="X155" s="23"/>
      <c r="Y155" s="33"/>
      <c r="Z155" s="9"/>
      <c r="AA155" s="30">
        <f>ROUNDUP(IF($G$8&gt;F155,SUM(($G$8-F155)/F155)),0)</f>
        <v>0</v>
      </c>
    </row>
    <row r="156" spans="1:68" x14ac:dyDescent="0.25">
      <c r="A156" s="19" t="s">
        <v>72</v>
      </c>
      <c r="B156" s="19" t="s">
        <v>41</v>
      </c>
      <c r="C156" s="19" t="s">
        <v>15</v>
      </c>
      <c r="D156" s="67" t="s">
        <v>24</v>
      </c>
      <c r="E156" s="56">
        <f t="shared" si="14"/>
        <v>0</v>
      </c>
      <c r="F156" s="23">
        <v>10</v>
      </c>
      <c r="G156" s="33">
        <v>0</v>
      </c>
      <c r="H156" s="9">
        <f>IF($G$8&gt;10,1,0)</f>
        <v>0</v>
      </c>
      <c r="I156" s="23">
        <v>25</v>
      </c>
      <c r="J156" s="33">
        <v>1</v>
      </c>
      <c r="K156" s="9">
        <f>IF($G$8&gt;I156,1,0)</f>
        <v>0</v>
      </c>
      <c r="L156" s="23">
        <v>50</v>
      </c>
      <c r="M156" s="33">
        <v>2</v>
      </c>
      <c r="N156" s="9"/>
      <c r="O156" s="23"/>
      <c r="P156" s="33"/>
      <c r="Q156" s="9"/>
      <c r="R156" s="23"/>
      <c r="S156" s="33"/>
      <c r="T156" s="9"/>
      <c r="U156" s="23"/>
      <c r="V156" s="33"/>
      <c r="W156" s="10"/>
      <c r="X156" s="23"/>
      <c r="Y156" s="33"/>
      <c r="Z156" s="9"/>
      <c r="AA156" s="30">
        <f>ROUNDUP(IF($G$8&gt;L156,SUM(($G$8-L156)/L156)),0)</f>
        <v>0</v>
      </c>
    </row>
    <row r="157" spans="1:68" ht="15.75" thickBot="1" x14ac:dyDescent="0.3">
      <c r="A157" s="19" t="s">
        <v>72</v>
      </c>
      <c r="B157" s="20" t="s">
        <v>41</v>
      </c>
      <c r="C157" s="20" t="s">
        <v>15</v>
      </c>
      <c r="D157" s="68" t="s">
        <v>60</v>
      </c>
      <c r="E157" s="32">
        <f t="shared" si="14"/>
        <v>0</v>
      </c>
      <c r="F157" s="24">
        <v>30</v>
      </c>
      <c r="G157" s="34">
        <v>1</v>
      </c>
      <c r="H157" s="32">
        <f>IF($G$8&gt;=1,1,0)</f>
        <v>0</v>
      </c>
      <c r="I157" s="24"/>
      <c r="J157" s="34"/>
      <c r="K157" s="11"/>
      <c r="L157" s="24"/>
      <c r="M157" s="34"/>
      <c r="N157" s="11"/>
      <c r="O157" s="24"/>
      <c r="P157" s="38"/>
      <c r="Q157" s="32"/>
      <c r="R157" s="24"/>
      <c r="S157" s="38"/>
      <c r="T157" s="11"/>
      <c r="U157" s="24"/>
      <c r="V157" s="34"/>
      <c r="W157" s="12"/>
      <c r="X157" s="24"/>
      <c r="Y157" s="38"/>
      <c r="Z157" s="11"/>
      <c r="AA157" s="31">
        <f>ROUNDUP(IF($G$8&gt;F157,SUM(($G$8-F157)/F157)),0)</f>
        <v>0</v>
      </c>
    </row>
    <row r="158" spans="1:68" x14ac:dyDescent="0.25">
      <c r="A158" s="19" t="s">
        <v>72</v>
      </c>
      <c r="B158" s="84"/>
      <c r="C158" s="19" t="s">
        <v>71</v>
      </c>
      <c r="D158" s="69" t="s">
        <v>69</v>
      </c>
      <c r="E158" s="63">
        <f>SUM(H158,K158,N158,Q158,T158,W158,Z158,AA158)</f>
        <v>0</v>
      </c>
      <c r="F158" s="23">
        <v>8</v>
      </c>
      <c r="G158" s="33">
        <v>1</v>
      </c>
      <c r="H158" s="9">
        <f>IF($G$11&gt;=1,1,0)</f>
        <v>0</v>
      </c>
      <c r="I158" s="86"/>
      <c r="J158" s="88"/>
      <c r="K158" s="89"/>
      <c r="L158" s="90"/>
      <c r="M158" s="88"/>
      <c r="N158" s="89"/>
      <c r="O158" s="90"/>
      <c r="P158" s="88"/>
      <c r="Q158" s="89"/>
      <c r="R158" s="90"/>
      <c r="S158" s="88"/>
      <c r="T158" s="89"/>
      <c r="U158" s="90"/>
      <c r="V158" s="88"/>
      <c r="W158" s="89"/>
      <c r="X158" s="90"/>
      <c r="Y158" s="88"/>
      <c r="Z158" s="2"/>
      <c r="AA158" s="30">
        <f>ROUNDUP(IF($G$11&gt;F158,SUM(($G$11-F158)/F158)),0)</f>
        <v>0</v>
      </c>
    </row>
    <row r="159" spans="1:68" x14ac:dyDescent="0.25">
      <c r="A159" s="19" t="s">
        <v>72</v>
      </c>
      <c r="B159" s="84"/>
      <c r="C159" s="19" t="s">
        <v>71</v>
      </c>
      <c r="D159" s="67" t="s">
        <v>23</v>
      </c>
      <c r="E159" s="63">
        <f t="shared" ref="E159:E161" si="15">SUM(H159,K159,N159,Q159,T159,W159,Z159,AA159)</f>
        <v>0</v>
      </c>
      <c r="F159" s="23">
        <v>8</v>
      </c>
      <c r="G159" s="33">
        <v>1</v>
      </c>
      <c r="H159" s="9">
        <f t="shared" ref="H159:H161" si="16">IF($G$11&gt;=1,1,0)</f>
        <v>0</v>
      </c>
      <c r="I159" s="86"/>
      <c r="J159" s="91"/>
      <c r="K159" s="92"/>
      <c r="L159" s="93"/>
      <c r="M159" s="91"/>
      <c r="N159" s="92"/>
      <c r="O159" s="93"/>
      <c r="P159" s="91"/>
      <c r="Q159" s="92"/>
      <c r="R159" s="93"/>
      <c r="S159" s="91"/>
      <c r="T159" s="92"/>
      <c r="U159" s="93"/>
      <c r="V159" s="91"/>
      <c r="W159" s="92"/>
      <c r="X159" s="93"/>
      <c r="Y159" s="91"/>
      <c r="Z159" s="2"/>
      <c r="AA159" s="30">
        <f t="shared" ref="AA159:AA161" si="17">ROUNDUP(IF($G$11&gt;F159,SUM(($G$11-F159)/F159)),0)</f>
        <v>0</v>
      </c>
    </row>
    <row r="160" spans="1:68" x14ac:dyDescent="0.25">
      <c r="A160" s="19" t="s">
        <v>72</v>
      </c>
      <c r="B160" s="84"/>
      <c r="C160" s="19" t="s">
        <v>71</v>
      </c>
      <c r="D160" s="67" t="s">
        <v>60</v>
      </c>
      <c r="E160" s="63">
        <f t="shared" si="15"/>
        <v>0</v>
      </c>
      <c r="F160" s="23">
        <v>8</v>
      </c>
      <c r="G160" s="33">
        <v>1</v>
      </c>
      <c r="H160" s="9">
        <f t="shared" si="16"/>
        <v>0</v>
      </c>
      <c r="I160" s="86"/>
      <c r="J160" s="91"/>
      <c r="K160" s="92"/>
      <c r="L160" s="93"/>
      <c r="M160" s="91"/>
      <c r="N160" s="92"/>
      <c r="O160" s="93"/>
      <c r="P160" s="91"/>
      <c r="Q160" s="92"/>
      <c r="R160" s="93"/>
      <c r="S160" s="91"/>
      <c r="T160" s="92"/>
      <c r="U160" s="93"/>
      <c r="V160" s="91"/>
      <c r="W160" s="92"/>
      <c r="X160" s="93"/>
      <c r="Y160" s="91"/>
      <c r="Z160" s="2"/>
      <c r="AA160" s="30">
        <f t="shared" si="17"/>
        <v>0</v>
      </c>
    </row>
    <row r="161" spans="1:27" ht="15.75" thickBot="1" x14ac:dyDescent="0.3">
      <c r="A161" s="19" t="s">
        <v>72</v>
      </c>
      <c r="B161" s="85"/>
      <c r="C161" s="20" t="s">
        <v>71</v>
      </c>
      <c r="D161" s="68" t="s">
        <v>70</v>
      </c>
      <c r="E161" s="98">
        <f t="shared" si="15"/>
        <v>0</v>
      </c>
      <c r="F161" s="24">
        <v>30</v>
      </c>
      <c r="G161" s="34">
        <v>1</v>
      </c>
      <c r="H161" s="11">
        <f t="shared" si="16"/>
        <v>0</v>
      </c>
      <c r="I161" s="87"/>
      <c r="J161" s="94"/>
      <c r="K161" s="95"/>
      <c r="L161" s="96"/>
      <c r="M161" s="94"/>
      <c r="N161" s="95"/>
      <c r="O161" s="96"/>
      <c r="P161" s="94"/>
      <c r="Q161" s="95"/>
      <c r="R161" s="96"/>
      <c r="S161" s="94"/>
      <c r="T161" s="97"/>
      <c r="U161" s="96"/>
      <c r="V161" s="94"/>
      <c r="W161" s="95"/>
      <c r="X161" s="96"/>
      <c r="Y161" s="94"/>
      <c r="Z161" s="83"/>
      <c r="AA161" s="31">
        <f t="shared" si="17"/>
        <v>0</v>
      </c>
    </row>
    <row r="162" spans="1:27" x14ac:dyDescent="0.25">
      <c r="A162" s="110" t="s">
        <v>81</v>
      </c>
      <c r="B162" s="21" t="s">
        <v>42</v>
      </c>
      <c r="C162" s="19" t="s">
        <v>15</v>
      </c>
      <c r="D162" s="67" t="s">
        <v>23</v>
      </c>
      <c r="E162" s="56">
        <f>SUM(H162,K162,N162,Q162,T162,W162,Z162,AA162)</f>
        <v>0</v>
      </c>
      <c r="F162" s="23">
        <v>15</v>
      </c>
      <c r="G162" s="36">
        <v>1</v>
      </c>
      <c r="H162" s="9">
        <f>IF($G$9&gt;=1,1,0)</f>
        <v>0</v>
      </c>
      <c r="I162" s="23"/>
      <c r="J162" s="36"/>
      <c r="K162" s="9"/>
      <c r="L162" s="23"/>
      <c r="M162" s="36"/>
      <c r="N162" s="9"/>
      <c r="O162" s="23"/>
      <c r="P162" s="33"/>
      <c r="Q162" s="9"/>
      <c r="R162" s="23"/>
      <c r="S162" s="36"/>
      <c r="T162" s="9"/>
      <c r="U162" s="23"/>
      <c r="V162" s="33"/>
      <c r="W162" s="10"/>
      <c r="X162" s="23"/>
      <c r="Y162" s="33"/>
      <c r="Z162" s="9"/>
      <c r="AA162" s="30">
        <f>ROUNDUP(IF($G$9&gt;F162,SUM(($G$9-F162)/F162)),0)</f>
        <v>0</v>
      </c>
    </row>
    <row r="163" spans="1:27" x14ac:dyDescent="0.25">
      <c r="A163" s="84" t="s">
        <v>81</v>
      </c>
      <c r="B163" s="19" t="s">
        <v>42</v>
      </c>
      <c r="C163" s="19" t="s">
        <v>15</v>
      </c>
      <c r="D163" s="67" t="s">
        <v>60</v>
      </c>
      <c r="E163" s="56">
        <f t="shared" ref="E163:E166" si="18">SUM(H163,K163,N163,Q163,T163,W163,Z163,AA163)</f>
        <v>0</v>
      </c>
      <c r="F163" s="23">
        <v>30</v>
      </c>
      <c r="G163" s="33">
        <v>1</v>
      </c>
      <c r="H163" s="9">
        <f>IF($G$9&gt;=1,1,0)</f>
        <v>0</v>
      </c>
      <c r="I163" s="23"/>
      <c r="J163" s="33"/>
      <c r="K163" s="9"/>
      <c r="L163" s="23"/>
      <c r="M163" s="33"/>
      <c r="N163" s="9"/>
      <c r="O163" s="23"/>
      <c r="P163" s="33"/>
      <c r="Q163" s="9"/>
      <c r="R163" s="23"/>
      <c r="S163" s="33"/>
      <c r="T163" s="9"/>
      <c r="U163" s="23"/>
      <c r="V163" s="33"/>
      <c r="W163" s="10"/>
      <c r="X163" s="23"/>
      <c r="Y163" s="33"/>
      <c r="Z163" s="9"/>
      <c r="AA163" s="30">
        <f>ROUNDUP(IF($G$9&gt;F163,SUM(($G$9-F163)/F163)),0)</f>
        <v>0</v>
      </c>
    </row>
    <row r="164" spans="1:27" x14ac:dyDescent="0.25">
      <c r="A164" s="84" t="s">
        <v>81</v>
      </c>
      <c r="B164" s="19" t="s">
        <v>41</v>
      </c>
      <c r="C164" s="19" t="s">
        <v>15</v>
      </c>
      <c r="D164" s="67" t="s">
        <v>23</v>
      </c>
      <c r="E164" s="56">
        <f t="shared" si="18"/>
        <v>0</v>
      </c>
      <c r="F164" s="23">
        <v>20</v>
      </c>
      <c r="G164" s="33">
        <v>1</v>
      </c>
      <c r="H164" s="9">
        <f>IF($G$8&gt;=1,1,0)</f>
        <v>0</v>
      </c>
      <c r="I164" s="23"/>
      <c r="J164" s="33"/>
      <c r="K164" s="9"/>
      <c r="L164" s="23"/>
      <c r="M164" s="33"/>
      <c r="N164" s="10"/>
      <c r="O164" s="23"/>
      <c r="P164" s="33"/>
      <c r="Q164" s="9"/>
      <c r="R164" s="23"/>
      <c r="S164" s="33"/>
      <c r="T164" s="9"/>
      <c r="U164" s="23"/>
      <c r="V164" s="33"/>
      <c r="W164" s="10"/>
      <c r="X164" s="23"/>
      <c r="Y164" s="33"/>
      <c r="Z164" s="9"/>
      <c r="AA164" s="30">
        <f>ROUNDUP(IF($G$8&gt;F164,SUM(($G$8-F164)/F164)),0)</f>
        <v>0</v>
      </c>
    </row>
    <row r="165" spans="1:27" x14ac:dyDescent="0.25">
      <c r="A165" s="84" t="s">
        <v>81</v>
      </c>
      <c r="B165" s="19" t="s">
        <v>41</v>
      </c>
      <c r="C165" s="19" t="s">
        <v>15</v>
      </c>
      <c r="D165" s="67" t="s">
        <v>24</v>
      </c>
      <c r="E165" s="56">
        <f t="shared" si="18"/>
        <v>0</v>
      </c>
      <c r="F165" s="23">
        <v>10</v>
      </c>
      <c r="G165" s="33">
        <v>0</v>
      </c>
      <c r="H165" s="9">
        <f>IF($G$8&gt;10,1,0)</f>
        <v>0</v>
      </c>
      <c r="I165" s="23">
        <v>25</v>
      </c>
      <c r="J165" s="33">
        <v>1</v>
      </c>
      <c r="K165" s="9">
        <f>IF($G$8&gt;I165,1,0)</f>
        <v>0</v>
      </c>
      <c r="L165" s="23">
        <v>50</v>
      </c>
      <c r="M165" s="33">
        <v>2</v>
      </c>
      <c r="N165" s="9"/>
      <c r="O165" s="23"/>
      <c r="P165" s="33"/>
      <c r="Q165" s="9"/>
      <c r="R165" s="23"/>
      <c r="S165" s="33"/>
      <c r="T165" s="9"/>
      <c r="U165" s="23"/>
      <c r="V165" s="33"/>
      <c r="W165" s="10"/>
      <c r="X165" s="23"/>
      <c r="Y165" s="33"/>
      <c r="Z165" s="9"/>
      <c r="AA165" s="30">
        <f>ROUNDUP(IF($G$8&gt;L165,SUM(($G$8-L165)/L165)),0)</f>
        <v>0</v>
      </c>
    </row>
    <row r="166" spans="1:27" ht="15.75" thickBot="1" x14ac:dyDescent="0.3">
      <c r="A166" s="84" t="s">
        <v>81</v>
      </c>
      <c r="B166" s="20" t="s">
        <v>41</v>
      </c>
      <c r="C166" s="20" t="s">
        <v>15</v>
      </c>
      <c r="D166" s="68" t="s">
        <v>60</v>
      </c>
      <c r="E166" s="32">
        <f t="shared" si="18"/>
        <v>0</v>
      </c>
      <c r="F166" s="24">
        <v>30</v>
      </c>
      <c r="G166" s="34">
        <v>1</v>
      </c>
      <c r="H166" s="32">
        <f>IF($G$8&gt;=1,1,0)</f>
        <v>0</v>
      </c>
      <c r="I166" s="24"/>
      <c r="J166" s="34"/>
      <c r="K166" s="11"/>
      <c r="L166" s="24"/>
      <c r="M166" s="34"/>
      <c r="N166" s="11"/>
      <c r="O166" s="24"/>
      <c r="P166" s="38"/>
      <c r="Q166" s="32"/>
      <c r="R166" s="24"/>
      <c r="S166" s="38"/>
      <c r="T166" s="11"/>
      <c r="U166" s="24"/>
      <c r="V166" s="34"/>
      <c r="W166" s="12"/>
      <c r="X166" s="24"/>
      <c r="Y166" s="38"/>
      <c r="Z166" s="11"/>
      <c r="AA166" s="31">
        <f>ROUNDUP(IF($G$8&gt;F166,SUM(($G$8-F166)/F166)),0)</f>
        <v>0</v>
      </c>
    </row>
    <row r="167" spans="1:27" x14ac:dyDescent="0.25">
      <c r="A167" s="84" t="s">
        <v>81</v>
      </c>
      <c r="B167" s="19"/>
      <c r="C167" s="19" t="s">
        <v>71</v>
      </c>
      <c r="D167" s="69" t="s">
        <v>69</v>
      </c>
      <c r="E167" s="63">
        <f>SUM(H167,K167,N167,Q167,T167,W167,Z167,AA167)</f>
        <v>0</v>
      </c>
      <c r="F167" s="23">
        <v>7</v>
      </c>
      <c r="G167" s="33">
        <v>1</v>
      </c>
      <c r="H167" s="9">
        <f>IF($G$11&gt;=1,1,0)</f>
        <v>0</v>
      </c>
      <c r="I167" s="86"/>
      <c r="J167" s="88"/>
      <c r="K167" s="89"/>
      <c r="L167" s="90"/>
      <c r="M167" s="88"/>
      <c r="N167" s="89"/>
      <c r="O167" s="90"/>
      <c r="P167" s="88"/>
      <c r="Q167" s="89"/>
      <c r="R167" s="90"/>
      <c r="S167" s="88"/>
      <c r="T167" s="89"/>
      <c r="U167" s="90"/>
      <c r="V167" s="88"/>
      <c r="W167" s="89"/>
      <c r="X167" s="90"/>
      <c r="Y167" s="88"/>
      <c r="Z167" s="2"/>
      <c r="AA167" s="30">
        <f>ROUNDUP(IF($G$11&gt;F167,SUM(($G$11-F167)/F167)),0)</f>
        <v>0</v>
      </c>
    </row>
    <row r="168" spans="1:27" x14ac:dyDescent="0.25">
      <c r="A168" s="84" t="s">
        <v>81</v>
      </c>
      <c r="B168" s="19"/>
      <c r="C168" s="19" t="s">
        <v>71</v>
      </c>
      <c r="D168" s="67" t="s">
        <v>23</v>
      </c>
      <c r="E168" s="63">
        <f t="shared" ref="E168:E169" si="19">SUM(H168,K168,N168,Q168,T168,W168,Z168,AA168)</f>
        <v>0</v>
      </c>
      <c r="F168" s="23">
        <v>6</v>
      </c>
      <c r="G168" s="33">
        <v>1</v>
      </c>
      <c r="H168" s="9">
        <f t="shared" ref="H168:H169" si="20">IF($G$11&gt;=1,1,0)</f>
        <v>0</v>
      </c>
      <c r="I168" s="86"/>
      <c r="J168" s="91"/>
      <c r="K168" s="92"/>
      <c r="L168" s="93"/>
      <c r="M168" s="91"/>
      <c r="N168" s="92"/>
      <c r="O168" s="93"/>
      <c r="P168" s="91"/>
      <c r="Q168" s="92"/>
      <c r="R168" s="93"/>
      <c r="S168" s="91"/>
      <c r="T168" s="92"/>
      <c r="U168" s="93"/>
      <c r="V168" s="91"/>
      <c r="W168" s="92"/>
      <c r="X168" s="93"/>
      <c r="Y168" s="91"/>
      <c r="Z168" s="2"/>
      <c r="AA168" s="30">
        <f t="shared" ref="AA168:AA169" si="21">ROUNDUP(IF($G$11&gt;F168,SUM(($G$11-F168)/F168)),0)</f>
        <v>0</v>
      </c>
    </row>
    <row r="169" spans="1:27" x14ac:dyDescent="0.25">
      <c r="A169" s="84" t="s">
        <v>81</v>
      </c>
      <c r="B169" s="19"/>
      <c r="C169" s="19" t="s">
        <v>71</v>
      </c>
      <c r="D169" s="67" t="s">
        <v>60</v>
      </c>
      <c r="E169" s="63">
        <f t="shared" si="19"/>
        <v>0</v>
      </c>
      <c r="F169" s="23">
        <v>6</v>
      </c>
      <c r="G169" s="33">
        <v>1</v>
      </c>
      <c r="H169" s="9">
        <f t="shared" si="20"/>
        <v>0</v>
      </c>
      <c r="I169" s="86"/>
      <c r="J169" s="91"/>
      <c r="K169" s="92"/>
      <c r="L169" s="93"/>
      <c r="M169" s="91"/>
      <c r="N169" s="92"/>
      <c r="O169" s="93"/>
      <c r="P169" s="91"/>
      <c r="Q169" s="92"/>
      <c r="R169" s="93"/>
      <c r="S169" s="91"/>
      <c r="T169" s="92"/>
      <c r="U169" s="93"/>
      <c r="V169" s="91"/>
      <c r="W169" s="92"/>
      <c r="X169" s="93"/>
      <c r="Y169" s="91"/>
      <c r="Z169" s="2"/>
      <c r="AA169" s="30">
        <f t="shared" si="21"/>
        <v>0</v>
      </c>
    </row>
    <row r="170" spans="1:27" ht="15.75" thickBot="1" x14ac:dyDescent="0.3">
      <c r="A170" s="84" t="s">
        <v>81</v>
      </c>
      <c r="B170" s="20"/>
      <c r="C170" s="20" t="s">
        <v>71</v>
      </c>
      <c r="D170" s="68" t="s">
        <v>70</v>
      </c>
      <c r="E170" s="98" t="s">
        <v>83</v>
      </c>
      <c r="F170" s="24"/>
      <c r="G170" s="34"/>
      <c r="H170" s="11"/>
      <c r="I170" s="87"/>
      <c r="J170" s="94"/>
      <c r="K170" s="95"/>
      <c r="L170" s="96"/>
      <c r="M170" s="94"/>
      <c r="N170" s="95"/>
      <c r="O170" s="96"/>
      <c r="P170" s="94"/>
      <c r="Q170" s="95"/>
      <c r="R170" s="96"/>
      <c r="S170" s="94"/>
      <c r="T170" s="97"/>
      <c r="U170" s="96"/>
      <c r="V170" s="94"/>
      <c r="W170" s="95"/>
      <c r="X170" s="96"/>
      <c r="Y170" s="94"/>
      <c r="Z170" s="83"/>
      <c r="AA170" s="31"/>
    </row>
    <row r="171" spans="1:27" x14ac:dyDescent="0.25">
      <c r="A171" s="110" t="s">
        <v>80</v>
      </c>
      <c r="B171" s="21" t="s">
        <v>42</v>
      </c>
      <c r="C171" s="19" t="s">
        <v>15</v>
      </c>
      <c r="D171" s="67" t="s">
        <v>23</v>
      </c>
      <c r="E171" s="56">
        <f>SUM(H171,K171,N171,Q171,T171,W171,Z171,AA171)</f>
        <v>0</v>
      </c>
      <c r="F171" s="23">
        <v>15</v>
      </c>
      <c r="G171" s="36">
        <v>1</v>
      </c>
      <c r="H171" s="9">
        <f>IF($G$9&gt;=1,1,0)</f>
        <v>0</v>
      </c>
      <c r="I171" s="23"/>
      <c r="J171" s="36"/>
      <c r="K171" s="9"/>
      <c r="L171" s="23"/>
      <c r="M171" s="36"/>
      <c r="N171" s="9"/>
      <c r="O171" s="23"/>
      <c r="P171" s="33"/>
      <c r="Q171" s="9"/>
      <c r="R171" s="23"/>
      <c r="S171" s="36"/>
      <c r="T171" s="9"/>
      <c r="U171" s="23"/>
      <c r="V171" s="33"/>
      <c r="W171" s="10"/>
      <c r="X171" s="23"/>
      <c r="Y171" s="33"/>
      <c r="Z171" s="9"/>
      <c r="AA171" s="30">
        <f>ROUNDUP(IF($G$9&gt;F171,SUM(($G$9-F171)/F171)),0)</f>
        <v>0</v>
      </c>
    </row>
    <row r="172" spans="1:27" x14ac:dyDescent="0.25">
      <c r="A172" s="19" t="s">
        <v>80</v>
      </c>
      <c r="B172" s="19" t="s">
        <v>42</v>
      </c>
      <c r="C172" s="19" t="s">
        <v>15</v>
      </c>
      <c r="D172" s="67" t="s">
        <v>60</v>
      </c>
      <c r="E172" s="56">
        <f t="shared" ref="E172:E175" si="22">SUM(H172,K172,N172,Q172,T172,W172,Z172,AA172)</f>
        <v>0</v>
      </c>
      <c r="F172" s="23">
        <v>30</v>
      </c>
      <c r="G172" s="33">
        <v>1</v>
      </c>
      <c r="H172" s="9">
        <f>IF($G$9&gt;=1,1,0)</f>
        <v>0</v>
      </c>
      <c r="I172" s="23"/>
      <c r="J172" s="33"/>
      <c r="K172" s="9"/>
      <c r="L172" s="23"/>
      <c r="M172" s="33"/>
      <c r="N172" s="9"/>
      <c r="O172" s="23"/>
      <c r="P172" s="33"/>
      <c r="Q172" s="9"/>
      <c r="R172" s="23"/>
      <c r="S172" s="33"/>
      <c r="T172" s="9"/>
      <c r="U172" s="23"/>
      <c r="V172" s="33"/>
      <c r="W172" s="10"/>
      <c r="X172" s="23"/>
      <c r="Y172" s="33"/>
      <c r="Z172" s="9"/>
      <c r="AA172" s="30">
        <f>ROUNDUP(IF($G$9&gt;F172,SUM(($G$9-F172)/F172)),0)</f>
        <v>0</v>
      </c>
    </row>
    <row r="173" spans="1:27" x14ac:dyDescent="0.25">
      <c r="A173" s="19" t="s">
        <v>80</v>
      </c>
      <c r="B173" s="19" t="s">
        <v>41</v>
      </c>
      <c r="C173" s="19" t="s">
        <v>15</v>
      </c>
      <c r="D173" s="67" t="s">
        <v>23</v>
      </c>
      <c r="E173" s="56">
        <f t="shared" si="22"/>
        <v>0</v>
      </c>
      <c r="F173" s="23">
        <v>20</v>
      </c>
      <c r="G173" s="33">
        <v>1</v>
      </c>
      <c r="H173" s="9">
        <f>IF($G$8&gt;=1,1,0)</f>
        <v>0</v>
      </c>
      <c r="I173" s="23"/>
      <c r="J173" s="33"/>
      <c r="K173" s="9"/>
      <c r="L173" s="23"/>
      <c r="M173" s="33"/>
      <c r="N173" s="10"/>
      <c r="O173" s="23"/>
      <c r="P173" s="33"/>
      <c r="Q173" s="9"/>
      <c r="R173" s="23"/>
      <c r="S173" s="33"/>
      <c r="T173" s="9"/>
      <c r="U173" s="23"/>
      <c r="V173" s="33"/>
      <c r="W173" s="10"/>
      <c r="X173" s="23"/>
      <c r="Y173" s="33"/>
      <c r="Z173" s="9"/>
      <c r="AA173" s="30">
        <f>ROUNDUP(IF($G$8&gt;F173,SUM(($G$8-F173)/F173)),0)</f>
        <v>0</v>
      </c>
    </row>
    <row r="174" spans="1:27" x14ac:dyDescent="0.25">
      <c r="A174" s="19" t="s">
        <v>80</v>
      </c>
      <c r="B174" s="19" t="s">
        <v>41</v>
      </c>
      <c r="C174" s="19" t="s">
        <v>15</v>
      </c>
      <c r="D174" s="67" t="s">
        <v>24</v>
      </c>
      <c r="E174" s="56">
        <f t="shared" si="22"/>
        <v>0</v>
      </c>
      <c r="F174" s="23">
        <v>10</v>
      </c>
      <c r="G174" s="33">
        <v>0</v>
      </c>
      <c r="H174" s="9">
        <f>IF($G$8&gt;10,1,0)</f>
        <v>0</v>
      </c>
      <c r="I174" s="23">
        <v>25</v>
      </c>
      <c r="J174" s="33">
        <v>1</v>
      </c>
      <c r="K174" s="9">
        <f>IF($G$8&gt;I174,1,0)</f>
        <v>0</v>
      </c>
      <c r="L174" s="23">
        <v>50</v>
      </c>
      <c r="M174" s="33">
        <v>2</v>
      </c>
      <c r="N174" s="9"/>
      <c r="O174" s="23"/>
      <c r="P174" s="33"/>
      <c r="Q174" s="9"/>
      <c r="R174" s="23"/>
      <c r="S174" s="33"/>
      <c r="T174" s="9"/>
      <c r="U174" s="23"/>
      <c r="V174" s="33"/>
      <c r="W174" s="10"/>
      <c r="X174" s="23"/>
      <c r="Y174" s="33"/>
      <c r="Z174" s="9"/>
      <c r="AA174" s="30">
        <f>ROUNDUP(IF($G$8&gt;L174,SUM(($G$8-L174)/L174)),0)</f>
        <v>0</v>
      </c>
    </row>
    <row r="175" spans="1:27" ht="15.75" thickBot="1" x14ac:dyDescent="0.3">
      <c r="A175" s="19" t="s">
        <v>80</v>
      </c>
      <c r="B175" s="20" t="s">
        <v>41</v>
      </c>
      <c r="C175" s="20" t="s">
        <v>15</v>
      </c>
      <c r="D175" s="68" t="s">
        <v>60</v>
      </c>
      <c r="E175" s="32">
        <f t="shared" si="22"/>
        <v>0</v>
      </c>
      <c r="F175" s="24">
        <v>30</v>
      </c>
      <c r="G175" s="34">
        <v>1</v>
      </c>
      <c r="H175" s="32">
        <f>IF($G$8&gt;=1,1,0)</f>
        <v>0</v>
      </c>
      <c r="I175" s="24"/>
      <c r="J175" s="34"/>
      <c r="K175" s="11"/>
      <c r="L175" s="24"/>
      <c r="M175" s="34"/>
      <c r="N175" s="11"/>
      <c r="O175" s="24"/>
      <c r="P175" s="38"/>
      <c r="Q175" s="32"/>
      <c r="R175" s="24"/>
      <c r="S175" s="38"/>
      <c r="T175" s="11"/>
      <c r="U175" s="24"/>
      <c r="V175" s="34"/>
      <c r="W175" s="12"/>
      <c r="X175" s="24"/>
      <c r="Y175" s="38"/>
      <c r="Z175" s="11"/>
      <c r="AA175" s="31">
        <f>ROUNDUP(IF($G$8&gt;F175,SUM(($G$8-F175)/F175)),0)</f>
        <v>0</v>
      </c>
    </row>
    <row r="176" spans="1:27" x14ac:dyDescent="0.25">
      <c r="A176" s="100" t="s">
        <v>80</v>
      </c>
      <c r="B176" s="21"/>
      <c r="C176" s="19" t="s">
        <v>71</v>
      </c>
      <c r="D176" s="69" t="s">
        <v>69</v>
      </c>
      <c r="E176" s="63">
        <f>SUM(H176,K176,N176,Q176,T176,W176,Z176,AA176)</f>
        <v>0</v>
      </c>
      <c r="F176" s="25">
        <v>10</v>
      </c>
      <c r="G176" s="103">
        <v>1</v>
      </c>
      <c r="H176" s="9">
        <f>IF($G$11&gt;=1,1,0)</f>
        <v>0</v>
      </c>
      <c r="I176" s="90"/>
      <c r="J176" s="88"/>
      <c r="K176" s="89"/>
      <c r="L176" s="90"/>
      <c r="M176" s="88"/>
      <c r="N176" s="89"/>
      <c r="O176" s="90"/>
      <c r="P176" s="88"/>
      <c r="Q176" s="89"/>
      <c r="R176" s="90"/>
      <c r="S176" s="88"/>
      <c r="T176" s="89"/>
      <c r="U176" s="90"/>
      <c r="V176" s="88"/>
      <c r="W176" s="89"/>
      <c r="X176" s="90"/>
      <c r="Y176" s="88"/>
      <c r="Z176" s="89"/>
      <c r="AA176" s="30">
        <f>ROUNDUP(IF($G$11&gt;F176,SUM(($G$11-F176)/F176)),0)</f>
        <v>0</v>
      </c>
    </row>
    <row r="177" spans="1:27" x14ac:dyDescent="0.25">
      <c r="A177" s="100" t="s">
        <v>80</v>
      </c>
      <c r="B177" s="19"/>
      <c r="C177" s="19" t="s">
        <v>71</v>
      </c>
      <c r="D177" s="67" t="s">
        <v>23</v>
      </c>
      <c r="E177" s="63">
        <f t="shared" ref="E177:E179" si="23">SUM(H177,K177,N177,Q177,T177,W177,Z177,AA177)</f>
        <v>0</v>
      </c>
      <c r="F177" s="23">
        <v>10</v>
      </c>
      <c r="G177" s="102">
        <v>1</v>
      </c>
      <c r="H177" s="9">
        <f t="shared" ref="H177:H179" si="24">IF($G$11&gt;=1,1,0)</f>
        <v>0</v>
      </c>
      <c r="I177" s="93"/>
      <c r="J177" s="91"/>
      <c r="K177" s="92"/>
      <c r="L177" s="93"/>
      <c r="M177" s="91"/>
      <c r="N177" s="92"/>
      <c r="O177" s="93"/>
      <c r="P177" s="91"/>
      <c r="Q177" s="92"/>
      <c r="R177" s="93"/>
      <c r="S177" s="91"/>
      <c r="T177" s="92"/>
      <c r="U177" s="93"/>
      <c r="V177" s="91"/>
      <c r="W177" s="92"/>
      <c r="X177" s="93"/>
      <c r="Y177" s="91"/>
      <c r="Z177" s="92"/>
      <c r="AA177" s="30">
        <f t="shared" ref="AA177:AA179" si="25">ROUNDUP(IF($G$11&gt;F177,SUM(($G$11-F177)/F177)),0)</f>
        <v>0</v>
      </c>
    </row>
    <row r="178" spans="1:27" x14ac:dyDescent="0.25">
      <c r="A178" s="100" t="s">
        <v>80</v>
      </c>
      <c r="B178" s="19"/>
      <c r="C178" s="19" t="s">
        <v>71</v>
      </c>
      <c r="D178" s="67" t="s">
        <v>60</v>
      </c>
      <c r="E178" s="63">
        <f t="shared" si="23"/>
        <v>0</v>
      </c>
      <c r="F178" s="23">
        <v>10</v>
      </c>
      <c r="G178" s="102">
        <v>1</v>
      </c>
      <c r="H178" s="9">
        <f t="shared" si="24"/>
        <v>0</v>
      </c>
      <c r="I178" s="93"/>
      <c r="J178" s="91"/>
      <c r="K178" s="92"/>
      <c r="L178" s="93"/>
      <c r="M178" s="91"/>
      <c r="N178" s="92"/>
      <c r="O178" s="93"/>
      <c r="P178" s="91"/>
      <c r="Q178" s="92"/>
      <c r="R178" s="93"/>
      <c r="S178" s="91"/>
      <c r="T178" s="92"/>
      <c r="U178" s="93"/>
      <c r="V178" s="91"/>
      <c r="W178" s="92"/>
      <c r="X178" s="93"/>
      <c r="Y178" s="91"/>
      <c r="Z178" s="92"/>
      <c r="AA178" s="30">
        <f t="shared" si="25"/>
        <v>0</v>
      </c>
    </row>
    <row r="179" spans="1:27" ht="15.75" thickBot="1" x14ac:dyDescent="0.3">
      <c r="A179" s="101" t="s">
        <v>80</v>
      </c>
      <c r="B179" s="20"/>
      <c r="C179" s="20" t="s">
        <v>71</v>
      </c>
      <c r="D179" s="68" t="s">
        <v>70</v>
      </c>
      <c r="E179" s="98">
        <f t="shared" si="23"/>
        <v>0</v>
      </c>
      <c r="F179" s="24">
        <v>10</v>
      </c>
      <c r="G179" s="38">
        <v>1</v>
      </c>
      <c r="H179" s="11">
        <f t="shared" si="24"/>
        <v>0</v>
      </c>
      <c r="I179" s="96"/>
      <c r="J179" s="94"/>
      <c r="K179" s="95"/>
      <c r="L179" s="96"/>
      <c r="M179" s="94"/>
      <c r="N179" s="95"/>
      <c r="O179" s="96"/>
      <c r="P179" s="94"/>
      <c r="Q179" s="95"/>
      <c r="R179" s="96"/>
      <c r="S179" s="94"/>
      <c r="T179" s="95"/>
      <c r="U179" s="96"/>
      <c r="V179" s="94"/>
      <c r="W179" s="95"/>
      <c r="X179" s="96"/>
      <c r="Y179" s="94"/>
      <c r="Z179" s="95"/>
      <c r="AA179" s="31">
        <f t="shared" si="25"/>
        <v>0</v>
      </c>
    </row>
    <row r="180" spans="1:27" x14ac:dyDescent="0.25">
      <c r="A180" s="6"/>
      <c r="B180" s="2"/>
      <c r="C180" s="2"/>
      <c r="D180" s="63"/>
      <c r="E180" s="63"/>
      <c r="F180" s="6"/>
      <c r="G180" s="6"/>
      <c r="H180" s="6"/>
      <c r="I180" s="2"/>
      <c r="J180" s="2"/>
      <c r="K180" s="2"/>
      <c r="L180" s="2"/>
      <c r="M180" s="2"/>
      <c r="N180" s="2"/>
      <c r="O180" s="2"/>
      <c r="P180" s="2"/>
      <c r="Q180" s="2"/>
      <c r="R180" s="2"/>
      <c r="S180" s="2"/>
      <c r="T180" s="2"/>
      <c r="U180" s="2"/>
      <c r="V180" s="2"/>
      <c r="W180" s="2"/>
      <c r="X180" s="2"/>
      <c r="Y180" s="2"/>
      <c r="Z180" s="2"/>
    </row>
    <row r="181" spans="1:27" x14ac:dyDescent="0.25">
      <c r="A181" s="6"/>
      <c r="B181" s="6"/>
      <c r="C181" s="6"/>
      <c r="D181" s="63"/>
      <c r="E181" s="63"/>
      <c r="F181" s="6"/>
      <c r="G181" s="2"/>
      <c r="H181" s="2"/>
      <c r="I181" s="2"/>
      <c r="J181" s="2"/>
      <c r="K181" s="2"/>
      <c r="L181" s="2"/>
      <c r="M181" s="2"/>
      <c r="N181" s="2"/>
      <c r="O181" s="2"/>
      <c r="P181" s="2"/>
      <c r="Q181" s="2"/>
      <c r="R181" s="2"/>
      <c r="S181" s="2"/>
      <c r="T181" s="2"/>
      <c r="U181" s="2"/>
      <c r="V181" s="2"/>
      <c r="W181" s="2"/>
      <c r="X181" s="2"/>
      <c r="Y181" s="2"/>
      <c r="Z181" s="2"/>
    </row>
    <row r="182" spans="1:27" ht="15.75" thickBot="1" x14ac:dyDescent="0.3">
      <c r="A182" s="6"/>
      <c r="B182" s="6"/>
      <c r="C182" s="6"/>
      <c r="D182" s="63"/>
      <c r="E182" s="63"/>
      <c r="F182" s="6"/>
      <c r="G182" s="6"/>
      <c r="H182" s="6"/>
      <c r="I182" s="2"/>
      <c r="J182" s="2"/>
      <c r="K182" s="2"/>
      <c r="L182" s="2"/>
      <c r="M182" s="2"/>
      <c r="N182" s="2"/>
      <c r="O182" s="2"/>
      <c r="P182" s="2"/>
      <c r="Q182" s="2"/>
      <c r="R182" s="2"/>
      <c r="S182" s="2"/>
      <c r="T182" s="2"/>
      <c r="U182" s="2"/>
      <c r="V182" s="2"/>
      <c r="W182" s="2"/>
      <c r="X182" s="2"/>
      <c r="Y182" s="2"/>
      <c r="Z182" s="2"/>
    </row>
    <row r="183" spans="1:27" ht="45" x14ac:dyDescent="0.25">
      <c r="A183" s="144"/>
      <c r="B183" s="135" t="s">
        <v>3</v>
      </c>
      <c r="C183" s="136"/>
      <c r="D183" s="136"/>
      <c r="E183" s="136"/>
      <c r="F183" s="136"/>
      <c r="G183" s="136"/>
      <c r="H183" s="136"/>
      <c r="I183" s="137" t="s">
        <v>73</v>
      </c>
      <c r="J183" s="2"/>
      <c r="K183" s="2"/>
      <c r="L183" s="2"/>
      <c r="M183" s="2"/>
      <c r="N183" s="2"/>
      <c r="O183" s="2"/>
      <c r="P183" s="2"/>
      <c r="Q183" s="2"/>
      <c r="R183" s="2"/>
      <c r="S183" s="2"/>
      <c r="T183" s="2"/>
      <c r="U183" s="2"/>
      <c r="V183" s="2"/>
      <c r="W183" s="2"/>
      <c r="X183" s="2"/>
      <c r="Y183" s="2"/>
      <c r="Z183" s="2"/>
    </row>
    <row r="184" spans="1:27" x14ac:dyDescent="0.25">
      <c r="A184" s="144"/>
      <c r="B184" s="138" t="s">
        <v>162</v>
      </c>
      <c r="C184" s="134"/>
      <c r="D184" s="134"/>
      <c r="E184" s="134" t="s">
        <v>15</v>
      </c>
      <c r="F184" s="134" t="s">
        <v>40</v>
      </c>
      <c r="G184" s="134" t="s">
        <v>40</v>
      </c>
      <c r="H184" s="134"/>
      <c r="I184" s="139">
        <f>IF('Sanitary Facilities Calculator'!$D$29=0,"NA",ROUNDUP(SUM('Sanitary Facilities Calculator'!$D$29*0.5),0))</f>
        <v>1</v>
      </c>
      <c r="J184" s="2"/>
      <c r="K184" s="2"/>
      <c r="L184" s="2"/>
      <c r="M184" s="2"/>
      <c r="N184" s="2"/>
      <c r="O184" s="2"/>
      <c r="P184" s="2"/>
      <c r="Q184" s="2"/>
      <c r="R184" s="2"/>
      <c r="S184" s="2"/>
      <c r="T184" s="2"/>
      <c r="U184" s="2"/>
      <c r="V184" s="2"/>
      <c r="W184" s="2"/>
      <c r="X184" s="2"/>
      <c r="Y184" s="2"/>
      <c r="Z184" s="2"/>
    </row>
    <row r="185" spans="1:27" x14ac:dyDescent="0.25">
      <c r="A185" s="144"/>
      <c r="B185" s="140" t="s">
        <v>80</v>
      </c>
      <c r="C185" s="134"/>
      <c r="D185" s="134"/>
      <c r="E185" s="134" t="s">
        <v>15</v>
      </c>
      <c r="F185" s="134" t="s">
        <v>71</v>
      </c>
      <c r="G185" s="134" t="s">
        <v>40</v>
      </c>
      <c r="H185" s="134"/>
      <c r="I185" s="139">
        <f>'Sanitary Facilities Calculator'!$D$29</f>
        <v>2</v>
      </c>
      <c r="J185" s="2"/>
      <c r="K185" s="2"/>
      <c r="L185" s="2"/>
      <c r="M185" s="2"/>
      <c r="N185" s="2"/>
      <c r="O185" s="2"/>
      <c r="P185" s="2"/>
      <c r="Q185" s="2"/>
      <c r="R185" s="2"/>
      <c r="S185" s="2"/>
      <c r="T185" s="2"/>
      <c r="U185" s="2"/>
      <c r="V185" s="2"/>
      <c r="W185" s="2"/>
      <c r="X185" s="2"/>
      <c r="Y185" s="2"/>
      <c r="Z185" s="2"/>
    </row>
    <row r="186" spans="1:27" x14ac:dyDescent="0.25">
      <c r="A186" s="144"/>
      <c r="B186" s="138" t="s">
        <v>72</v>
      </c>
      <c r="C186" s="134"/>
      <c r="D186" s="134"/>
      <c r="E186" s="134" t="s">
        <v>15</v>
      </c>
      <c r="F186" s="134" t="s">
        <v>71</v>
      </c>
      <c r="G186" s="134" t="s">
        <v>40</v>
      </c>
      <c r="H186" s="134"/>
      <c r="I186" s="139">
        <f>'Sanitary Facilities Calculator'!$D$29</f>
        <v>2</v>
      </c>
      <c r="J186" s="2"/>
      <c r="K186" s="2"/>
      <c r="L186" s="2"/>
      <c r="M186" s="2"/>
      <c r="N186" s="2"/>
      <c r="O186" s="2"/>
      <c r="P186" s="2"/>
      <c r="Q186" s="2"/>
      <c r="R186" s="2"/>
      <c r="S186" s="2"/>
      <c r="T186" s="2"/>
      <c r="U186" s="2"/>
      <c r="V186" s="2"/>
      <c r="W186" s="2"/>
      <c r="X186" s="2"/>
      <c r="Y186" s="2"/>
      <c r="Z186" s="2"/>
    </row>
    <row r="187" spans="1:27" x14ac:dyDescent="0.25">
      <c r="A187" s="144"/>
      <c r="B187" s="138" t="s">
        <v>4</v>
      </c>
      <c r="C187" s="134"/>
      <c r="D187" s="134"/>
      <c r="E187" s="134" t="s">
        <v>15</v>
      </c>
      <c r="F187" s="134" t="s">
        <v>40</v>
      </c>
      <c r="G187" s="134" t="s">
        <v>40</v>
      </c>
      <c r="H187" s="134"/>
      <c r="I187" s="139">
        <f>IF('Sanitary Facilities Calculator'!$D$29=0,"NA",ROUNDUP(SUM('Sanitary Facilities Calculator'!$D$29*0.5),0))</f>
        <v>1</v>
      </c>
      <c r="J187" s="2"/>
      <c r="K187" s="2"/>
      <c r="L187" s="2"/>
      <c r="M187" s="2"/>
      <c r="N187" s="2"/>
      <c r="O187" s="2"/>
      <c r="P187" s="2"/>
      <c r="Q187" s="2"/>
      <c r="R187" s="2"/>
      <c r="S187" s="2"/>
      <c r="T187" s="2"/>
      <c r="U187" s="2"/>
      <c r="V187" s="2"/>
      <c r="W187" s="2"/>
      <c r="X187" s="2"/>
      <c r="Y187" s="2"/>
      <c r="Z187" s="2"/>
    </row>
    <row r="188" spans="1:27" x14ac:dyDescent="0.25">
      <c r="A188" s="144"/>
      <c r="B188" s="138" t="s">
        <v>5</v>
      </c>
      <c r="C188" s="134"/>
      <c r="D188" s="134"/>
      <c r="E188" s="134" t="s">
        <v>15</v>
      </c>
      <c r="F188" s="134" t="s">
        <v>16</v>
      </c>
      <c r="G188" s="134" t="s">
        <v>40</v>
      </c>
      <c r="H188" s="134"/>
      <c r="I188" s="139">
        <f>IF('Sanitary Facilities Calculator'!$D$29=0,"NA",ROUNDUP(SUM('Sanitary Facilities Calculator'!$D$29*0.5),0))</f>
        <v>1</v>
      </c>
      <c r="J188" s="2"/>
      <c r="K188" s="2"/>
      <c r="L188" s="2"/>
      <c r="M188" s="2"/>
      <c r="N188" s="2"/>
      <c r="O188" s="2"/>
      <c r="P188" s="2"/>
      <c r="Q188" s="2"/>
      <c r="R188" s="2"/>
      <c r="S188" s="2"/>
      <c r="T188" s="2"/>
      <c r="U188" s="2"/>
      <c r="V188" s="2"/>
      <c r="W188" s="2"/>
      <c r="X188" s="2"/>
      <c r="Y188" s="2"/>
      <c r="Z188" s="2"/>
    </row>
    <row r="189" spans="1:27" x14ac:dyDescent="0.25">
      <c r="A189" s="144"/>
      <c r="B189" s="138" t="s">
        <v>6</v>
      </c>
      <c r="C189" s="134"/>
      <c r="D189" s="134"/>
      <c r="E189" s="134" t="s">
        <v>15</v>
      </c>
      <c r="F189" s="134" t="s">
        <v>16</v>
      </c>
      <c r="G189" s="134" t="s">
        <v>40</v>
      </c>
      <c r="H189" s="134"/>
      <c r="I189" s="139">
        <f>IF('Sanitary Facilities Calculator'!$D$29=0,"NA",ROUNDUP(SUM('Sanitary Facilities Calculator'!$D$29*0.5),0))</f>
        <v>1</v>
      </c>
      <c r="J189" s="2"/>
      <c r="K189" s="2"/>
      <c r="L189" s="2"/>
      <c r="M189" s="2"/>
      <c r="N189" s="2"/>
      <c r="O189" s="2"/>
      <c r="P189" s="2"/>
      <c r="Q189" s="2"/>
      <c r="R189" s="2"/>
      <c r="S189" s="2"/>
      <c r="T189" s="2"/>
      <c r="U189" s="2"/>
      <c r="V189" s="2"/>
      <c r="W189" s="2"/>
      <c r="X189" s="2"/>
      <c r="Y189" s="2"/>
      <c r="Z189" s="2"/>
    </row>
    <row r="190" spans="1:27" x14ac:dyDescent="0.25">
      <c r="A190" s="144"/>
      <c r="B190" s="138" t="s">
        <v>7</v>
      </c>
      <c r="C190" s="134"/>
      <c r="D190" s="134"/>
      <c r="E190" s="134" t="s">
        <v>15</v>
      </c>
      <c r="F190" s="134" t="s">
        <v>14</v>
      </c>
      <c r="G190" s="134" t="s">
        <v>40</v>
      </c>
      <c r="H190" s="134"/>
      <c r="I190" s="139">
        <f>IF('Sanitary Facilities Calculator'!$D$29=0,"NA",ROUNDUP(SUM('Sanitary Facilities Calculator'!$D$29*0.5),0))</f>
        <v>1</v>
      </c>
      <c r="J190" s="2"/>
      <c r="K190" s="2"/>
      <c r="L190" s="2"/>
      <c r="M190" s="2"/>
      <c r="N190" s="2"/>
      <c r="O190" s="2"/>
      <c r="P190" s="2"/>
      <c r="Q190" s="2"/>
      <c r="R190" s="2"/>
      <c r="S190" s="2"/>
      <c r="T190" s="2"/>
      <c r="U190" s="2"/>
      <c r="V190" s="2"/>
      <c r="W190" s="2"/>
      <c r="X190" s="2"/>
      <c r="Y190" s="2"/>
      <c r="Z190" s="2"/>
    </row>
    <row r="191" spans="1:27" x14ac:dyDescent="0.25">
      <c r="A191" s="144"/>
      <c r="B191" s="138" t="s">
        <v>8</v>
      </c>
      <c r="C191" s="134"/>
      <c r="D191" s="134"/>
      <c r="E191" s="134" t="s">
        <v>15</v>
      </c>
      <c r="F191" s="134" t="s">
        <v>19</v>
      </c>
      <c r="G191" s="134" t="s">
        <v>40</v>
      </c>
      <c r="H191" s="134"/>
      <c r="I191" s="139">
        <f>IF('Sanitary Facilities Calculator'!$D$29=0,"NA",ROUNDUP(SUM('Sanitary Facilities Calculator'!$D$29*0.5),0))</f>
        <v>1</v>
      </c>
      <c r="J191" s="2"/>
      <c r="K191" s="2"/>
      <c r="L191" s="2"/>
      <c r="M191" s="2"/>
      <c r="N191" s="2"/>
      <c r="O191" s="2"/>
      <c r="P191" s="2"/>
      <c r="Q191" s="2"/>
      <c r="R191" s="2"/>
      <c r="S191" s="2"/>
      <c r="T191" s="2"/>
      <c r="U191" s="2"/>
      <c r="V191" s="2"/>
      <c r="W191" s="2"/>
      <c r="X191" s="2"/>
      <c r="Y191" s="2"/>
      <c r="Z191" s="2"/>
    </row>
    <row r="192" spans="1:27" x14ac:dyDescent="0.25">
      <c r="A192" s="144"/>
      <c r="B192" s="138" t="s">
        <v>9</v>
      </c>
      <c r="C192" s="134"/>
      <c r="D192" s="134"/>
      <c r="E192" s="134" t="s">
        <v>15</v>
      </c>
      <c r="F192" s="134" t="s">
        <v>17</v>
      </c>
      <c r="G192" s="134" t="s">
        <v>40</v>
      </c>
      <c r="H192" s="134"/>
      <c r="I192" s="139">
        <f>IF('Sanitary Facilities Calculator'!$D$29=0,"NA",ROUNDUP(SUM('Sanitary Facilities Calculator'!$D$29*0.5),0))</f>
        <v>1</v>
      </c>
      <c r="J192" s="2"/>
      <c r="K192" s="2"/>
      <c r="L192" s="2"/>
      <c r="M192" s="2"/>
      <c r="N192" s="2"/>
      <c r="O192" s="2"/>
      <c r="P192" s="2"/>
      <c r="Q192" s="2"/>
      <c r="R192" s="2"/>
      <c r="S192" s="2"/>
      <c r="T192" s="2"/>
      <c r="U192" s="2"/>
      <c r="V192" s="2"/>
      <c r="W192" s="2"/>
      <c r="X192" s="2"/>
      <c r="Y192" s="2"/>
      <c r="Z192" s="2"/>
    </row>
    <row r="193" spans="1:26" x14ac:dyDescent="0.25">
      <c r="A193" s="144"/>
      <c r="B193" s="138" t="s">
        <v>10</v>
      </c>
      <c r="C193" s="134"/>
      <c r="D193" s="134"/>
      <c r="E193" s="134" t="s">
        <v>15</v>
      </c>
      <c r="F193" s="134" t="s">
        <v>21</v>
      </c>
      <c r="G193" s="134" t="s">
        <v>20</v>
      </c>
      <c r="H193" s="134"/>
      <c r="I193" s="139">
        <f>IF('Sanitary Facilities Calculator'!$D$29=0,"NA",ROUNDUP(SUM('Sanitary Facilities Calculator'!$D$29*0.5),0))</f>
        <v>1</v>
      </c>
      <c r="J193" s="2"/>
      <c r="K193" s="2"/>
      <c r="L193" s="2"/>
      <c r="M193" s="2"/>
      <c r="N193" s="2"/>
      <c r="O193" s="2"/>
      <c r="P193" s="2"/>
      <c r="Q193" s="2"/>
      <c r="R193" s="2"/>
      <c r="S193" s="2"/>
      <c r="T193" s="2"/>
      <c r="U193" s="2"/>
      <c r="V193" s="2"/>
      <c r="W193" s="2"/>
      <c r="X193" s="2"/>
      <c r="Y193" s="2"/>
      <c r="Z193" s="2"/>
    </row>
    <row r="194" spans="1:26" x14ac:dyDescent="0.25">
      <c r="A194" s="132"/>
      <c r="B194" s="138" t="s">
        <v>18</v>
      </c>
      <c r="C194" s="134"/>
      <c r="D194" s="134"/>
      <c r="E194" s="134" t="s">
        <v>15</v>
      </c>
      <c r="F194" s="134" t="s">
        <v>16</v>
      </c>
      <c r="G194" s="134" t="s">
        <v>40</v>
      </c>
      <c r="H194" s="134"/>
      <c r="I194" s="139">
        <f>IF('Sanitary Facilities Calculator'!$D$29=0,"NA",ROUNDUP(SUM('Sanitary Facilities Calculator'!$D$29*0.5),0))</f>
        <v>1</v>
      </c>
      <c r="J194" s="2"/>
      <c r="K194" s="2"/>
      <c r="L194" s="2"/>
      <c r="M194" s="2"/>
      <c r="N194" s="2"/>
      <c r="O194" s="2"/>
      <c r="P194" s="2"/>
      <c r="Q194" s="2"/>
      <c r="R194" s="2"/>
      <c r="S194" s="2"/>
      <c r="T194" s="2"/>
      <c r="U194" s="2"/>
      <c r="V194" s="2"/>
      <c r="W194" s="2"/>
      <c r="X194" s="2"/>
      <c r="Y194" s="2"/>
      <c r="Z194" s="2"/>
    </row>
    <row r="195" spans="1:26" x14ac:dyDescent="0.25">
      <c r="A195" s="132"/>
      <c r="B195" s="138" t="s">
        <v>11</v>
      </c>
      <c r="C195" s="134"/>
      <c r="D195" s="134"/>
      <c r="E195" s="134" t="s">
        <v>15</v>
      </c>
      <c r="F195" s="134" t="s">
        <v>21</v>
      </c>
      <c r="G195" s="134" t="s">
        <v>20</v>
      </c>
      <c r="H195" s="134"/>
      <c r="I195" s="139">
        <f>IF('Sanitary Facilities Calculator'!$D$29=0,"NA",ROUNDUP(SUM('Sanitary Facilities Calculator'!$D$29*0.5),0))</f>
        <v>1</v>
      </c>
      <c r="J195" s="2"/>
      <c r="K195" s="2"/>
      <c r="L195" s="2"/>
      <c r="M195" s="2"/>
      <c r="N195" s="2"/>
      <c r="O195" s="2"/>
      <c r="P195" s="2"/>
      <c r="Q195" s="2"/>
      <c r="R195" s="2"/>
      <c r="S195" s="2"/>
      <c r="T195" s="2"/>
      <c r="U195" s="2"/>
      <c r="V195" s="2"/>
      <c r="W195" s="2"/>
      <c r="X195" s="2"/>
      <c r="Y195" s="2"/>
      <c r="Z195" s="2"/>
    </row>
    <row r="196" spans="1:26" x14ac:dyDescent="0.25">
      <c r="A196" s="132"/>
      <c r="B196" s="138" t="s">
        <v>12</v>
      </c>
      <c r="C196" s="134"/>
      <c r="D196" s="134"/>
      <c r="E196" s="134" t="s">
        <v>15</v>
      </c>
      <c r="F196" s="134" t="s">
        <v>16</v>
      </c>
      <c r="G196" s="134" t="s">
        <v>40</v>
      </c>
      <c r="H196" s="134"/>
      <c r="I196" s="139">
        <f>IF('Sanitary Facilities Calculator'!$D$29=0,"NA",ROUNDUP(SUM('Sanitary Facilities Calculator'!$D$29*0.5),0))</f>
        <v>1</v>
      </c>
      <c r="J196" s="2"/>
      <c r="K196" s="2"/>
      <c r="L196" s="2"/>
      <c r="M196" s="2"/>
      <c r="N196" s="2"/>
      <c r="O196" s="2"/>
      <c r="P196" s="2"/>
      <c r="Q196" s="2"/>
      <c r="R196" s="2"/>
      <c r="S196" s="2"/>
      <c r="T196" s="2"/>
      <c r="U196" s="2"/>
      <c r="V196" s="2"/>
      <c r="W196" s="2"/>
      <c r="X196" s="2"/>
      <c r="Y196" s="2"/>
      <c r="Z196" s="2"/>
    </row>
    <row r="197" spans="1:26" x14ac:dyDescent="0.25">
      <c r="A197" s="132"/>
      <c r="B197" s="138" t="s">
        <v>13</v>
      </c>
      <c r="C197" s="134"/>
      <c r="D197" s="134"/>
      <c r="E197" s="134" t="s">
        <v>15</v>
      </c>
      <c r="F197" s="134" t="s">
        <v>16</v>
      </c>
      <c r="G197" s="134" t="s">
        <v>40</v>
      </c>
      <c r="H197" s="134"/>
      <c r="I197" s="139">
        <f>IF('Sanitary Facilities Calculator'!$D$29=0,"NA",ROUNDUP(SUM('Sanitary Facilities Calculator'!$D$29*0.5),0))</f>
        <v>1</v>
      </c>
      <c r="J197" s="2"/>
      <c r="K197" s="2"/>
      <c r="L197" s="2"/>
      <c r="M197" s="2"/>
      <c r="N197" s="2"/>
      <c r="O197" s="2"/>
      <c r="P197" s="2"/>
      <c r="Q197" s="2"/>
      <c r="R197" s="2"/>
      <c r="S197" s="2"/>
      <c r="T197" s="2"/>
      <c r="U197" s="2"/>
      <c r="V197" s="2"/>
      <c r="W197" s="2"/>
      <c r="X197" s="2"/>
      <c r="Y197" s="2"/>
      <c r="Z197" s="2"/>
    </row>
    <row r="198" spans="1:26" ht="15.75" thickBot="1" x14ac:dyDescent="0.3">
      <c r="A198" s="132"/>
      <c r="B198" s="141" t="s">
        <v>81</v>
      </c>
      <c r="C198" s="142"/>
      <c r="D198" s="142"/>
      <c r="E198" s="142" t="s">
        <v>15</v>
      </c>
      <c r="F198" s="142" t="s">
        <v>71</v>
      </c>
      <c r="G198" s="142" t="s">
        <v>40</v>
      </c>
      <c r="H198" s="142"/>
      <c r="I198" s="143">
        <f>'Sanitary Facilities Calculator'!$D$29</f>
        <v>2</v>
      </c>
      <c r="J198" s="2"/>
      <c r="K198" s="2"/>
      <c r="L198" s="2"/>
      <c r="M198" s="2"/>
      <c r="N198" s="2"/>
      <c r="O198" s="2"/>
      <c r="P198" s="2"/>
      <c r="Q198" s="2"/>
      <c r="R198" s="2"/>
      <c r="S198" s="2"/>
      <c r="T198" s="2"/>
      <c r="U198" s="2"/>
      <c r="V198" s="2"/>
      <c r="W198" s="2"/>
      <c r="X198" s="2"/>
      <c r="Y198" s="2"/>
      <c r="Z198" s="2"/>
    </row>
    <row r="199" spans="1:26" ht="15.75" thickBot="1" x14ac:dyDescent="0.3">
      <c r="A199" s="132"/>
      <c r="B199" s="145"/>
      <c r="C199" s="132"/>
      <c r="D199" s="132"/>
      <c r="E199" s="132"/>
      <c r="F199" s="132"/>
      <c r="G199" s="132"/>
      <c r="H199" s="132"/>
      <c r="I199" s="133"/>
      <c r="J199" s="2"/>
      <c r="K199" s="2"/>
      <c r="L199" s="2"/>
      <c r="M199" s="2"/>
      <c r="N199" s="2"/>
      <c r="O199" s="2"/>
      <c r="P199" s="2"/>
      <c r="Q199" s="2"/>
      <c r="R199" s="2"/>
      <c r="S199" s="2"/>
      <c r="T199" s="2"/>
      <c r="U199" s="2"/>
      <c r="V199" s="2"/>
      <c r="W199" s="2"/>
      <c r="X199" s="2"/>
      <c r="Y199" s="2"/>
      <c r="Z199" s="2"/>
    </row>
    <row r="200" spans="1:26" x14ac:dyDescent="0.25">
      <c r="A200" s="132"/>
      <c r="B200" s="308" t="s">
        <v>63</v>
      </c>
      <c r="C200" s="309"/>
      <c r="D200" s="155"/>
      <c r="E200" s="156" t="s">
        <v>74</v>
      </c>
      <c r="F200" s="156" t="s">
        <v>75</v>
      </c>
      <c r="G200" s="156" t="s">
        <v>76</v>
      </c>
      <c r="H200" s="156" t="s">
        <v>77</v>
      </c>
      <c r="I200" s="157" t="s">
        <v>78</v>
      </c>
      <c r="J200" s="2"/>
      <c r="K200" s="2"/>
      <c r="L200" s="2"/>
      <c r="M200" s="2"/>
      <c r="N200" s="2"/>
      <c r="O200" s="2"/>
      <c r="P200" s="2"/>
      <c r="Q200" s="2"/>
      <c r="R200" s="2"/>
      <c r="S200" s="2"/>
      <c r="T200" s="2"/>
      <c r="U200" s="2"/>
      <c r="V200" s="2"/>
      <c r="W200" s="2"/>
      <c r="X200" s="2"/>
      <c r="Y200" s="2"/>
      <c r="Z200" s="2"/>
    </row>
    <row r="201" spans="1:26" ht="60" x14ac:dyDescent="0.25">
      <c r="A201" s="132"/>
      <c r="B201" s="310" t="s">
        <v>162</v>
      </c>
      <c r="C201" s="311"/>
      <c r="D201" s="158"/>
      <c r="E201" s="159" t="s">
        <v>88</v>
      </c>
      <c r="F201" s="160" t="s">
        <v>79</v>
      </c>
      <c r="G201" s="160" t="s">
        <v>79</v>
      </c>
      <c r="H201" s="160" t="s">
        <v>79</v>
      </c>
      <c r="I201" s="161" t="s">
        <v>163</v>
      </c>
      <c r="J201" s="2"/>
      <c r="K201" s="2"/>
      <c r="L201" s="2"/>
      <c r="M201" s="2"/>
      <c r="N201" s="2"/>
      <c r="O201" s="2"/>
      <c r="P201" s="2"/>
      <c r="Q201" s="2"/>
      <c r="R201" s="2"/>
      <c r="S201" s="2"/>
      <c r="T201" s="2"/>
      <c r="U201" s="2"/>
      <c r="V201" s="2"/>
      <c r="W201" s="2"/>
      <c r="X201" s="2"/>
      <c r="Y201" s="2"/>
      <c r="Z201" s="2"/>
    </row>
    <row r="202" spans="1:26" ht="120" x14ac:dyDescent="0.25">
      <c r="A202" s="132"/>
      <c r="B202" s="312" t="s">
        <v>80</v>
      </c>
      <c r="C202" s="313"/>
      <c r="D202" s="158"/>
      <c r="E202" s="159" t="s">
        <v>85</v>
      </c>
      <c r="F202" s="159" t="s">
        <v>171</v>
      </c>
      <c r="G202" s="159" t="s">
        <v>170</v>
      </c>
      <c r="H202" s="159" t="s">
        <v>169</v>
      </c>
      <c r="I202" s="161" t="s">
        <v>164</v>
      </c>
      <c r="J202" s="2"/>
      <c r="K202" s="2"/>
      <c r="L202" s="2"/>
      <c r="M202" s="2"/>
      <c r="N202" s="2"/>
      <c r="O202" s="2"/>
      <c r="P202" s="2"/>
      <c r="Q202" s="2"/>
      <c r="R202" s="2"/>
      <c r="S202" s="2"/>
      <c r="T202" s="2"/>
      <c r="U202" s="2"/>
      <c r="V202" s="2"/>
      <c r="W202" s="2"/>
      <c r="X202" s="2"/>
      <c r="Y202" s="2"/>
      <c r="Z202" s="2"/>
    </row>
    <row r="203" spans="1:26" ht="84" x14ac:dyDescent="0.25">
      <c r="A203" s="132"/>
      <c r="B203" s="310" t="s">
        <v>72</v>
      </c>
      <c r="C203" s="311"/>
      <c r="D203" s="158"/>
      <c r="E203" s="159" t="s">
        <v>85</v>
      </c>
      <c r="F203" s="159" t="s">
        <v>172</v>
      </c>
      <c r="G203" s="159" t="s">
        <v>88</v>
      </c>
      <c r="H203" s="160" t="s">
        <v>79</v>
      </c>
      <c r="I203" s="161" t="s">
        <v>164</v>
      </c>
      <c r="J203" s="2"/>
      <c r="K203" s="2"/>
      <c r="L203" s="2"/>
      <c r="M203" s="2"/>
      <c r="N203" s="2"/>
      <c r="O203" s="2"/>
      <c r="P203" s="2"/>
      <c r="Q203" s="2"/>
      <c r="R203" s="2"/>
      <c r="S203" s="2"/>
      <c r="T203" s="2"/>
      <c r="U203" s="2"/>
      <c r="V203" s="2"/>
      <c r="W203" s="2"/>
      <c r="X203" s="2"/>
      <c r="Y203" s="2"/>
      <c r="Z203" s="2"/>
    </row>
    <row r="204" spans="1:26" ht="144" x14ac:dyDescent="0.25">
      <c r="A204" s="132"/>
      <c r="B204" s="310" t="s">
        <v>5</v>
      </c>
      <c r="C204" s="311"/>
      <c r="D204" s="158"/>
      <c r="E204" s="159" t="s">
        <v>89</v>
      </c>
      <c r="F204" s="159" t="s">
        <v>90</v>
      </c>
      <c r="G204" s="159" t="s">
        <v>88</v>
      </c>
      <c r="H204" s="161" t="s">
        <v>165</v>
      </c>
      <c r="I204" s="154" t="s">
        <v>167</v>
      </c>
      <c r="J204" s="2"/>
      <c r="K204" s="2"/>
      <c r="L204" s="2"/>
      <c r="M204" s="2"/>
      <c r="N204" s="2"/>
      <c r="O204" s="2"/>
      <c r="P204" s="2"/>
      <c r="Q204" s="2"/>
      <c r="R204" s="2"/>
      <c r="S204" s="2"/>
      <c r="T204" s="2"/>
      <c r="U204" s="2"/>
      <c r="V204" s="2"/>
      <c r="W204" s="2"/>
      <c r="X204" s="2"/>
      <c r="Y204" s="2"/>
      <c r="Z204" s="2"/>
    </row>
    <row r="205" spans="1:26" ht="144" x14ac:dyDescent="0.25">
      <c r="A205" s="132"/>
      <c r="B205" s="310" t="s">
        <v>6</v>
      </c>
      <c r="C205" s="311"/>
      <c r="D205" s="158"/>
      <c r="E205" s="159" t="s">
        <v>91</v>
      </c>
      <c r="F205" s="159" t="s">
        <v>92</v>
      </c>
      <c r="G205" s="159" t="s">
        <v>88</v>
      </c>
      <c r="H205" s="160" t="s">
        <v>79</v>
      </c>
      <c r="I205" s="161" t="s">
        <v>164</v>
      </c>
      <c r="J205" s="2"/>
      <c r="K205" s="2"/>
      <c r="L205" s="2"/>
      <c r="M205" s="2"/>
      <c r="N205" s="2"/>
      <c r="O205" s="2"/>
      <c r="P205" s="2"/>
      <c r="Q205" s="2"/>
      <c r="R205" s="2"/>
      <c r="S205" s="2"/>
      <c r="T205" s="2"/>
      <c r="U205" s="2"/>
      <c r="V205" s="2"/>
      <c r="W205" s="2"/>
      <c r="X205" s="2"/>
      <c r="Y205" s="2"/>
      <c r="Z205" s="2"/>
    </row>
    <row r="206" spans="1:26" ht="60" x14ac:dyDescent="0.25">
      <c r="A206" s="132"/>
      <c r="B206" s="310" t="s">
        <v>4</v>
      </c>
      <c r="C206" s="311"/>
      <c r="D206" s="158"/>
      <c r="E206" s="159" t="s">
        <v>180</v>
      </c>
      <c r="F206" s="159" t="s">
        <v>88</v>
      </c>
      <c r="G206" s="160" t="s">
        <v>79</v>
      </c>
      <c r="H206" s="160" t="s">
        <v>79</v>
      </c>
      <c r="I206" s="162" t="s">
        <v>79</v>
      </c>
      <c r="J206" s="2"/>
      <c r="K206" s="2"/>
      <c r="L206" s="2"/>
      <c r="M206" s="2"/>
      <c r="N206" s="2"/>
      <c r="O206" s="2"/>
      <c r="P206" s="2"/>
      <c r="Q206" s="2"/>
      <c r="R206" s="2"/>
      <c r="S206" s="2"/>
      <c r="T206" s="2"/>
      <c r="U206" s="2"/>
      <c r="V206" s="2"/>
      <c r="W206" s="2"/>
      <c r="X206" s="2"/>
      <c r="Y206" s="2"/>
      <c r="Z206" s="2"/>
    </row>
    <row r="207" spans="1:26" ht="156" x14ac:dyDescent="0.25">
      <c r="A207" s="132"/>
      <c r="B207" s="310" t="s">
        <v>7</v>
      </c>
      <c r="C207" s="311"/>
      <c r="D207" s="158"/>
      <c r="E207" s="159" t="s">
        <v>93</v>
      </c>
      <c r="F207" s="159" t="s">
        <v>179</v>
      </c>
      <c r="G207" s="159" t="s">
        <v>88</v>
      </c>
      <c r="H207" s="159" t="s">
        <v>94</v>
      </c>
      <c r="I207" s="161" t="s">
        <v>84</v>
      </c>
      <c r="J207" s="2"/>
      <c r="K207" s="2"/>
      <c r="L207" s="2"/>
      <c r="M207" s="2"/>
      <c r="N207" s="2"/>
      <c r="O207" s="2"/>
      <c r="P207" s="2"/>
      <c r="Q207" s="2"/>
      <c r="R207" s="2"/>
      <c r="S207" s="2"/>
      <c r="T207" s="2"/>
      <c r="U207" s="2"/>
      <c r="V207" s="2"/>
      <c r="W207" s="2"/>
      <c r="X207" s="2"/>
      <c r="Y207" s="2"/>
      <c r="Z207" s="2"/>
    </row>
    <row r="208" spans="1:26" ht="108" x14ac:dyDescent="0.25">
      <c r="A208" s="132"/>
      <c r="B208" s="163" t="s">
        <v>9</v>
      </c>
      <c r="C208" s="164"/>
      <c r="D208" s="158"/>
      <c r="E208" s="159" t="s">
        <v>95</v>
      </c>
      <c r="F208" s="159" t="s">
        <v>88</v>
      </c>
      <c r="G208" s="159" t="s">
        <v>96</v>
      </c>
      <c r="H208" s="159" t="s">
        <v>79</v>
      </c>
      <c r="I208" s="161" t="s">
        <v>163</v>
      </c>
      <c r="J208" s="2"/>
      <c r="K208" s="2"/>
      <c r="L208" s="2"/>
      <c r="M208" s="2"/>
      <c r="N208" s="2"/>
      <c r="O208" s="2"/>
      <c r="P208" s="2"/>
      <c r="Q208" s="2"/>
      <c r="R208" s="2"/>
      <c r="S208" s="2"/>
      <c r="T208" s="2"/>
      <c r="U208" s="2"/>
      <c r="V208" s="2"/>
      <c r="W208" s="2"/>
      <c r="X208" s="2"/>
      <c r="Y208" s="2"/>
      <c r="Z208" s="2"/>
    </row>
    <row r="209" spans="1:26" ht="144" x14ac:dyDescent="0.25">
      <c r="A209" s="132"/>
      <c r="B209" s="312" t="s">
        <v>13</v>
      </c>
      <c r="C209" s="313"/>
      <c r="D209" s="158"/>
      <c r="E209" s="159" t="s">
        <v>97</v>
      </c>
      <c r="F209" s="159" t="s">
        <v>88</v>
      </c>
      <c r="G209" s="159" t="s">
        <v>90</v>
      </c>
      <c r="H209" s="160" t="s">
        <v>79</v>
      </c>
      <c r="I209" s="161" t="s">
        <v>166</v>
      </c>
      <c r="J209" s="2"/>
      <c r="K209" s="2"/>
      <c r="L209" s="2"/>
      <c r="M209" s="2"/>
      <c r="N209" s="2"/>
      <c r="O209" s="2"/>
      <c r="P209" s="2"/>
      <c r="Q209" s="2"/>
      <c r="R209" s="2"/>
      <c r="S209" s="2"/>
      <c r="T209" s="2"/>
      <c r="U209" s="2"/>
      <c r="V209" s="2"/>
      <c r="W209" s="2"/>
      <c r="X209" s="2"/>
      <c r="Y209" s="2"/>
      <c r="Z209" s="2"/>
    </row>
    <row r="210" spans="1:26" ht="72" x14ac:dyDescent="0.25">
      <c r="A210" s="132"/>
      <c r="B210" s="312" t="s">
        <v>8</v>
      </c>
      <c r="C210" s="313"/>
      <c r="D210" s="158"/>
      <c r="E210" s="159" t="s">
        <v>88</v>
      </c>
      <c r="F210" s="161" t="s">
        <v>163</v>
      </c>
      <c r="G210" s="160" t="s">
        <v>79</v>
      </c>
      <c r="H210" s="160" t="s">
        <v>79</v>
      </c>
      <c r="I210" s="176" t="s">
        <v>79</v>
      </c>
      <c r="J210" s="2"/>
      <c r="K210" s="2"/>
      <c r="L210" s="2"/>
      <c r="M210" s="2"/>
      <c r="N210" s="2"/>
      <c r="O210" s="2"/>
      <c r="P210" s="2"/>
      <c r="Q210" s="2"/>
      <c r="R210" s="2"/>
      <c r="S210" s="2"/>
      <c r="T210" s="2"/>
      <c r="U210" s="2"/>
      <c r="V210" s="2"/>
      <c r="W210" s="2"/>
      <c r="X210" s="2"/>
      <c r="Y210" s="2"/>
      <c r="Z210" s="2"/>
    </row>
    <row r="211" spans="1:26" ht="144" x14ac:dyDescent="0.25">
      <c r="A211" s="132"/>
      <c r="B211" s="312" t="s">
        <v>10</v>
      </c>
      <c r="C211" s="313"/>
      <c r="D211" s="158"/>
      <c r="E211" s="159" t="s">
        <v>88</v>
      </c>
      <c r="F211" s="159" t="s">
        <v>90</v>
      </c>
      <c r="G211" s="160" t="s">
        <v>79</v>
      </c>
      <c r="H211" s="160" t="s">
        <v>79</v>
      </c>
      <c r="I211" s="161" t="s">
        <v>163</v>
      </c>
      <c r="J211" s="2"/>
      <c r="K211" s="2"/>
      <c r="L211" s="2"/>
      <c r="M211" s="2"/>
      <c r="N211" s="2"/>
      <c r="O211" s="2"/>
      <c r="P211" s="2"/>
      <c r="Q211" s="2"/>
      <c r="R211" s="2"/>
      <c r="S211" s="2"/>
      <c r="T211" s="2"/>
      <c r="U211" s="2"/>
      <c r="V211" s="2"/>
      <c r="W211" s="2"/>
      <c r="X211" s="2"/>
      <c r="Y211" s="2"/>
      <c r="Z211" s="2"/>
    </row>
    <row r="212" spans="1:26" ht="144" x14ac:dyDescent="0.25">
      <c r="A212" s="132"/>
      <c r="B212" s="312" t="s">
        <v>18</v>
      </c>
      <c r="C212" s="313"/>
      <c r="D212" s="158"/>
      <c r="E212" s="159" t="s">
        <v>88</v>
      </c>
      <c r="F212" s="159" t="s">
        <v>90</v>
      </c>
      <c r="G212" s="160" t="s">
        <v>79</v>
      </c>
      <c r="H212" s="160" t="s">
        <v>79</v>
      </c>
      <c r="I212" s="161" t="s">
        <v>163</v>
      </c>
      <c r="J212" s="2"/>
      <c r="K212" s="2"/>
      <c r="L212" s="2"/>
      <c r="M212" s="2"/>
      <c r="N212" s="2"/>
      <c r="O212" s="2"/>
      <c r="P212" s="2"/>
      <c r="Q212" s="2"/>
      <c r="R212" s="2"/>
      <c r="S212" s="2"/>
      <c r="T212" s="2"/>
      <c r="U212" s="2"/>
      <c r="V212" s="2"/>
      <c r="W212" s="2"/>
      <c r="X212" s="2"/>
      <c r="Y212" s="2"/>
      <c r="Z212" s="2"/>
    </row>
    <row r="213" spans="1:26" ht="144" x14ac:dyDescent="0.25">
      <c r="A213" s="132"/>
      <c r="B213" s="310" t="s">
        <v>11</v>
      </c>
      <c r="C213" s="311"/>
      <c r="D213" s="160"/>
      <c r="E213" s="159" t="s">
        <v>88</v>
      </c>
      <c r="F213" s="159" t="s">
        <v>90</v>
      </c>
      <c r="G213" s="161" t="s">
        <v>166</v>
      </c>
      <c r="H213" s="160" t="s">
        <v>79</v>
      </c>
      <c r="I213" s="154" t="s">
        <v>168</v>
      </c>
      <c r="J213" s="2"/>
      <c r="K213" s="2"/>
      <c r="L213" s="2"/>
      <c r="M213" s="2"/>
      <c r="N213" s="2"/>
      <c r="O213" s="2"/>
      <c r="P213" s="2"/>
      <c r="Q213" s="2"/>
      <c r="R213" s="2"/>
      <c r="S213" s="2"/>
      <c r="T213" s="2"/>
      <c r="U213" s="2"/>
      <c r="V213" s="2"/>
      <c r="W213" s="2"/>
      <c r="X213" s="2"/>
      <c r="Y213" s="2"/>
      <c r="Z213" s="2"/>
    </row>
    <row r="214" spans="1:26" ht="144" x14ac:dyDescent="0.25">
      <c r="A214" s="132"/>
      <c r="B214" s="310" t="s">
        <v>12</v>
      </c>
      <c r="C214" s="311"/>
      <c r="D214" s="158"/>
      <c r="E214" s="159" t="s">
        <v>88</v>
      </c>
      <c r="F214" s="159" t="s">
        <v>90</v>
      </c>
      <c r="G214" s="160" t="s">
        <v>79</v>
      </c>
      <c r="H214" s="160" t="s">
        <v>79</v>
      </c>
      <c r="I214" s="161" t="s">
        <v>163</v>
      </c>
      <c r="J214" s="2"/>
      <c r="K214" s="2"/>
      <c r="L214" s="2"/>
      <c r="M214" s="2"/>
      <c r="N214" s="2"/>
      <c r="O214" s="2"/>
      <c r="P214" s="2"/>
      <c r="Q214" s="2"/>
      <c r="R214" s="2"/>
      <c r="S214" s="2"/>
      <c r="T214" s="2"/>
      <c r="U214" s="2"/>
      <c r="V214" s="2"/>
      <c r="W214" s="2"/>
      <c r="X214" s="2"/>
      <c r="Y214" s="2"/>
      <c r="Z214" s="2"/>
    </row>
    <row r="215" spans="1:26" ht="84.75" thickBot="1" x14ac:dyDescent="0.3">
      <c r="A215" s="132"/>
      <c r="B215" s="306" t="s">
        <v>81</v>
      </c>
      <c r="C215" s="307"/>
      <c r="D215" s="165"/>
      <c r="E215" s="166" t="s">
        <v>85</v>
      </c>
      <c r="F215" s="159" t="s">
        <v>172</v>
      </c>
      <c r="G215" s="166" t="s">
        <v>173</v>
      </c>
      <c r="H215" s="166" t="s">
        <v>174</v>
      </c>
      <c r="I215" s="161" t="s">
        <v>163</v>
      </c>
      <c r="J215" s="240" t="s">
        <v>84</v>
      </c>
      <c r="K215" s="2"/>
      <c r="L215" s="2"/>
      <c r="M215" s="2"/>
      <c r="N215" s="2"/>
      <c r="O215" s="2"/>
      <c r="P215" s="2"/>
      <c r="Q215" s="2"/>
      <c r="R215" s="2"/>
      <c r="S215" s="2"/>
      <c r="T215" s="2"/>
      <c r="U215" s="2"/>
      <c r="V215" s="2"/>
      <c r="W215" s="2"/>
      <c r="X215" s="2"/>
      <c r="Y215" s="2"/>
      <c r="Z215" s="2"/>
    </row>
    <row r="216" spans="1:26" x14ac:dyDescent="0.25">
      <c r="A216" s="132"/>
      <c r="B216" s="146"/>
      <c r="C216" s="146"/>
      <c r="D216" s="147"/>
      <c r="E216" s="147"/>
      <c r="F216" s="148"/>
      <c r="G216" s="146"/>
      <c r="H216" s="146"/>
      <c r="I216" s="146"/>
      <c r="J216" s="2"/>
      <c r="K216" s="2"/>
      <c r="L216" s="2"/>
      <c r="M216" s="2"/>
      <c r="N216" s="2"/>
      <c r="O216" s="2"/>
      <c r="P216" s="2"/>
      <c r="Q216" s="2"/>
      <c r="R216" s="2"/>
      <c r="S216" s="2"/>
      <c r="T216" s="2"/>
      <c r="U216" s="2"/>
      <c r="V216" s="2"/>
      <c r="W216" s="2"/>
      <c r="X216" s="2"/>
      <c r="Y216" s="2"/>
      <c r="Z216" s="2"/>
    </row>
    <row r="217" spans="1:26" x14ac:dyDescent="0.25">
      <c r="A217" s="6"/>
      <c r="B217" s="2"/>
      <c r="C217" s="2"/>
      <c r="D217" s="63"/>
      <c r="E217" s="63"/>
      <c r="F217" s="6"/>
      <c r="G217" s="2"/>
      <c r="H217" s="2"/>
      <c r="I217" s="2"/>
      <c r="J217" s="2"/>
      <c r="K217" s="2"/>
      <c r="L217" s="2"/>
      <c r="M217" s="2"/>
      <c r="N217" s="2"/>
      <c r="O217" s="2"/>
      <c r="P217" s="2"/>
      <c r="Q217" s="2"/>
      <c r="R217" s="2"/>
      <c r="S217" s="2"/>
      <c r="T217" s="2"/>
      <c r="U217" s="2"/>
      <c r="V217" s="2"/>
      <c r="W217" s="2"/>
      <c r="X217" s="2"/>
      <c r="Y217" s="2"/>
      <c r="Z217" s="2"/>
    </row>
    <row r="218" spans="1:26" x14ac:dyDescent="0.25">
      <c r="A218" s="6"/>
      <c r="B218" s="2"/>
      <c r="C218" s="2"/>
      <c r="D218" s="63"/>
      <c r="E218" s="63"/>
      <c r="F218" s="6"/>
      <c r="G218" s="2"/>
      <c r="H218" s="2"/>
      <c r="I218" s="2"/>
      <c r="J218" s="2"/>
      <c r="K218" s="2"/>
      <c r="L218" s="2"/>
      <c r="M218" s="2"/>
      <c r="N218" s="2"/>
      <c r="O218" s="2"/>
      <c r="P218" s="2"/>
      <c r="Q218" s="2"/>
      <c r="R218" s="2"/>
      <c r="S218" s="2"/>
      <c r="T218" s="2"/>
      <c r="U218" s="2"/>
      <c r="V218" s="2"/>
      <c r="W218" s="2"/>
      <c r="X218" s="2"/>
      <c r="Y218" s="2"/>
      <c r="Z218" s="2"/>
    </row>
    <row r="219" spans="1:26" x14ac:dyDescent="0.25">
      <c r="A219" s="6"/>
      <c r="B219" s="2"/>
      <c r="C219" s="2"/>
      <c r="D219" s="63"/>
      <c r="E219" s="63"/>
      <c r="F219" s="6"/>
      <c r="G219" s="2"/>
      <c r="H219" s="2"/>
      <c r="I219" s="2"/>
      <c r="J219" s="2"/>
      <c r="K219" s="2"/>
      <c r="L219" s="2"/>
      <c r="M219" s="2"/>
      <c r="N219" s="2"/>
      <c r="O219" s="2"/>
      <c r="P219" s="2"/>
      <c r="Q219" s="2"/>
      <c r="R219" s="2"/>
      <c r="S219" s="2"/>
      <c r="T219" s="2"/>
      <c r="U219" s="2"/>
      <c r="V219" s="2"/>
      <c r="W219" s="2"/>
      <c r="X219" s="2"/>
      <c r="Y219" s="2"/>
      <c r="Z219" s="2"/>
    </row>
    <row r="220" spans="1:26" x14ac:dyDescent="0.25">
      <c r="A220" s="6"/>
      <c r="B220" s="2"/>
      <c r="C220" s="2"/>
      <c r="D220" s="63"/>
      <c r="E220" s="63"/>
      <c r="F220" s="6"/>
      <c r="G220" s="2"/>
      <c r="H220" s="2"/>
      <c r="I220" s="2"/>
      <c r="J220" s="2"/>
      <c r="K220" s="2"/>
      <c r="L220" s="2"/>
      <c r="M220" s="2"/>
      <c r="N220" s="2"/>
      <c r="O220" s="2"/>
      <c r="P220" s="2"/>
      <c r="Q220" s="2"/>
      <c r="R220" s="2"/>
      <c r="S220" s="2"/>
      <c r="T220" s="2"/>
      <c r="U220" s="2"/>
      <c r="V220" s="2"/>
      <c r="W220" s="2"/>
      <c r="X220" s="2"/>
      <c r="Y220" s="2"/>
      <c r="Z220" s="2"/>
    </row>
    <row r="221" spans="1:26" x14ac:dyDescent="0.25">
      <c r="A221" s="2"/>
      <c r="B221" s="2"/>
      <c r="C221" s="2"/>
      <c r="D221" s="63"/>
      <c r="E221" s="63"/>
      <c r="F221" s="6"/>
      <c r="G221" s="2"/>
      <c r="H221" s="2"/>
      <c r="I221" s="2"/>
      <c r="J221" s="2"/>
      <c r="K221" s="2"/>
      <c r="L221" s="2"/>
      <c r="M221" s="2"/>
      <c r="N221" s="2"/>
      <c r="O221" s="2"/>
      <c r="P221" s="2"/>
      <c r="Q221" s="2"/>
      <c r="R221" s="2"/>
      <c r="S221" s="2"/>
      <c r="T221" s="2"/>
      <c r="U221" s="2"/>
      <c r="V221" s="2"/>
      <c r="W221" s="2"/>
      <c r="X221" s="2"/>
      <c r="Y221" s="2"/>
      <c r="Z221" s="2"/>
    </row>
    <row r="222" spans="1:26" x14ac:dyDescent="0.25">
      <c r="A222" s="6"/>
      <c r="J222" s="2"/>
      <c r="K222" s="2"/>
      <c r="L222" s="2"/>
      <c r="M222" s="2"/>
      <c r="N222" s="2"/>
      <c r="O222" s="2"/>
      <c r="P222" s="2"/>
      <c r="Q222" s="2"/>
      <c r="R222" s="2"/>
      <c r="S222" s="2"/>
      <c r="T222" s="2"/>
      <c r="U222" s="2"/>
      <c r="V222" s="2"/>
      <c r="W222" s="2"/>
      <c r="X222" s="2"/>
      <c r="Y222" s="2"/>
      <c r="Z222" s="2"/>
    </row>
  </sheetData>
  <sheetProtection algorithmName="SHA-512" hashValue="rcOtB2rJONubX+q76H+sYekj0T3Hwfc+qlti92Nk8IRJUAgVEehgMuYEV+RKWP6aAFVexl4XwMjLbVsF54x6hg==" saltValue="sNOVhO4EzkTbwdaiqHPOlQ==" spinCount="100000" sheet="1" objects="1" scenarios="1" selectLockedCells="1" selectUnlockedCells="1"/>
  <sortState ref="A11:D24">
    <sortCondition ref="A11:A24"/>
  </sortState>
  <mergeCells count="27">
    <mergeCell ref="B215:C215"/>
    <mergeCell ref="B200:C200"/>
    <mergeCell ref="B201:C201"/>
    <mergeCell ref="B203:C203"/>
    <mergeCell ref="B204:C204"/>
    <mergeCell ref="B205:C205"/>
    <mergeCell ref="B206:C206"/>
    <mergeCell ref="B207:C207"/>
    <mergeCell ref="B213:C213"/>
    <mergeCell ref="B214:C214"/>
    <mergeCell ref="B202:C202"/>
    <mergeCell ref="B209:C209"/>
    <mergeCell ref="B210:C210"/>
    <mergeCell ref="B211:C211"/>
    <mergeCell ref="B212:C212"/>
    <mergeCell ref="G3:L4"/>
    <mergeCell ref="H15:I15"/>
    <mergeCell ref="F3:F4"/>
    <mergeCell ref="H7:I7"/>
    <mergeCell ref="H8:I8"/>
    <mergeCell ref="H9:I9"/>
    <mergeCell ref="H10:I10"/>
    <mergeCell ref="H11:I11"/>
    <mergeCell ref="H12:I12"/>
    <mergeCell ref="H13:I13"/>
    <mergeCell ref="H14:I14"/>
    <mergeCell ref="J6:N6"/>
  </mergeCells>
  <dataValidations disablePrompts="1" count="1">
    <dataValidation type="list" allowBlank="1" showInputMessage="1" showErrorMessage="1" sqref="G3:L4">
      <formula1>$A$10:$A$24</formula1>
    </dataValidation>
  </dataValidations>
  <pageMargins left="0.7" right="0.7" top="0.75" bottom="0.75" header="0.3" footer="0.3"/>
  <pageSetup paperSize="8" scale="20"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4BD8C9492125574A91909CD263A904DF" ma:contentTypeVersion="15" ma:contentTypeDescription="Create a new document." ma:contentTypeScope="" ma:versionID="da51352f66ec3f78b0ca210b279cbbee">
  <xsd:schema xmlns:xsd="http://www.w3.org/2001/XMLSchema" xmlns:xs="http://www.w3.org/2001/XMLSchema" xmlns:p="http://schemas.microsoft.com/office/2006/metadata/properties" xmlns:ns1="http://schemas.microsoft.com/sharepoint/v3" xmlns:ns2="d064c82f-d8ab-4a3d-94af-5f326bc58d2d" xmlns:ns3="http://schemas.microsoft.com/sharepoint/v4" targetNamespace="http://schemas.microsoft.com/office/2006/metadata/properties" ma:root="true" ma:fieldsID="87c41af653eb1cfdf031f9a0717fdd63" ns1:_="" ns2:_="" ns3:_="">
    <xsd:import namespace="http://schemas.microsoft.com/sharepoint/v3"/>
    <xsd:import namespace="d064c82f-d8ab-4a3d-94af-5f326bc58d2d"/>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2:aa25a1a23adf4c92a153145de6afe324" minOccurs="0"/>
                <xsd:element ref="ns2:TaxCatchAll" minOccurs="0"/>
                <xsd:element ref="ns2:pe2555c81638466f9eb614edb9ecde52" minOccurs="0"/>
                <xsd:element ref="ns2:g7bcb40ba23249a78edca7d43a67c1c9" minOccurs="0"/>
                <xsd:element ref="ns2:adb9bed2e36e4a93af574aeb444da63e" minOccurs="0"/>
                <xsd:element ref="ns2:n99e4c9942c6404eb103464a00e6097b" minOccurs="0"/>
                <xsd:element ref="ns1:Comments" minOccurs="0"/>
                <xsd:element ref="ns2:SharedWithUsers" minOccurs="0"/>
                <xsd:element ref="ns3:IconOverla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omments" ma:index="22" nillable="true" ma:displayName="Comments"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064c82f-d8ab-4a3d-94af-5f326bc58d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aa25a1a23adf4c92a153145de6afe324" ma:index="12" ma:taxonomy="true" ma:internalName="aa25a1a23adf4c92a153145de6afe324" ma:taxonomyFieldName="DocHub_SecurityClassification" ma:displayName="Security Classification" ma:fieldId="{aa25a1a2-3adf-4c92-a153-145de6afe324}" ma:sspId="fb0313f7-9433-48c0-866e-9e0bbee59a50" ma:termSetId="f68a6a0b-bd85-4d9d-9c73-c45af096016b" ma:anchorId="00000000-0000-0000-0000-000000000000" ma:open="false" ma:isKeyword="false">
      <xsd:complexType>
        <xsd:sequence>
          <xsd:element ref="pc:Terms" minOccurs="0" maxOccurs="1"/>
        </xsd:sequence>
      </xsd:complexType>
    </xsd:element>
    <xsd:element name="TaxCatchAll" ma:index="13" nillable="true" ma:displayName="Taxonomy Catch All Column" ma:hidden="true" ma:list="{ba7ee364-b2a1-4f0a-a954-3c284f763d4f}" ma:internalName="TaxCatchAll" ma:showField="CatchAllData" ma:web="d064c82f-d8ab-4a3d-94af-5f326bc58d2d">
      <xsd:complexType>
        <xsd:complexContent>
          <xsd:extension base="dms:MultiChoiceLookup">
            <xsd:sequence>
              <xsd:element name="Value" type="dms:Lookup" maxOccurs="unbounded" minOccurs="0" nillable="true"/>
            </xsd:sequence>
          </xsd:extension>
        </xsd:complexContent>
      </xsd:complexType>
    </xsd:element>
    <xsd:element name="pe2555c81638466f9eb614edb9ecde52" ma:index="15" ma:taxonomy="true" ma:internalName="pe2555c81638466f9eb614edb9ecde52" ma:taxonomyFieldName="DocHub_DocumentType" ma:displayName="Document Type" ma:indexed="true" ma:fieldId="{9e2555c8-1638-466f-9eb6-14edb9ecde52}" ma:sspId="fb0313f7-9433-48c0-866e-9e0bbee59a50" ma:termSetId="0e4c18c5-28eb-4f9e-8056-b3cddd4b5d9b" ma:anchorId="00000000-0000-0000-0000-000000000000" ma:open="false" ma:isKeyword="false">
      <xsd:complexType>
        <xsd:sequence>
          <xsd:element ref="pc:Terms" minOccurs="0" maxOccurs="1"/>
        </xsd:sequence>
      </xsd:complexType>
    </xsd:element>
    <xsd:element name="g7bcb40ba23249a78edca7d43a67c1c9" ma:index="17" nillable="true" ma:taxonomy="true" ma:internalName="g7bcb40ba23249a78edca7d43a67c1c9" ma:taxonomyFieldName="DocHub_WorkActivity" ma:displayName="Work Activity" ma:indexed="true" ma:fieldId="{07bcb40b-a232-49a7-8edc-a7d43a67c1c9}" ma:sspId="fb0313f7-9433-48c0-866e-9e0bbee59a50" ma:termSetId="6713ebbd-194a-499f-ab84-a4d70e145fb7" ma:anchorId="00000000-0000-0000-0000-000000000000" ma:open="false" ma:isKeyword="false">
      <xsd:complexType>
        <xsd:sequence>
          <xsd:element ref="pc:Terms" minOccurs="0" maxOccurs="1"/>
        </xsd:sequence>
      </xsd:complexType>
    </xsd:element>
    <xsd:element name="adb9bed2e36e4a93af574aeb444da63e" ma:index="19" nillable="true" ma:taxonomy="true" ma:internalName="adb9bed2e36e4a93af574aeb444da63e" ma:taxonomyFieldName="DocHub_Keywords" ma:displayName="Division Keywords" ma:fieldId="{adb9bed2-e36e-4a93-af57-4aeb444da63e}" ma:taxonomyMulti="true" ma:sspId="fb0313f7-9433-48c0-866e-9e0bbee59a50" ma:termSetId="49b4ab08-24a7-4c85-9f80-4fe3e469e22f" ma:anchorId="00000000-0000-0000-0000-000000000000" ma:open="true" ma:isKeyword="false">
      <xsd:complexType>
        <xsd:sequence>
          <xsd:element ref="pc:Terms" minOccurs="0" maxOccurs="1"/>
        </xsd:sequence>
      </xsd:complexType>
    </xsd:element>
    <xsd:element name="n99e4c9942c6404eb103464a00e6097b" ma:index="21" nillable="true" ma:taxonomy="true" ma:internalName="n99e4c9942c6404eb103464a00e6097b" ma:taxonomyFieldName="DocHub_Year" ma:displayName="Year" ma:indexed="true" ma:fieldId="{799e4c99-42c6-404e-b103-464a00e6097b}" ma:sspId="fb0313f7-9433-48c0-866e-9e0bbee59a50" ma:termSetId="07e1743d-d980-4fe7-a67d-b87ecf7f18f6" ma:anchorId="00000000-0000-0000-0000-000000000000" ma:open="false" ma:isKeyword="false">
      <xsd:complexType>
        <xsd:sequence>
          <xsd:element ref="pc:Terms" minOccurs="0" maxOccurs="1"/>
        </xsd:sequence>
      </xsd:complexType>
    </xsd:element>
    <xsd:element name="SharedWithUsers" ma:index="24"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5"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n99e4c9942c6404eb103464a00e6097b xmlns="d064c82f-d8ab-4a3d-94af-5f326bc58d2d">
      <Terms xmlns="http://schemas.microsoft.com/office/infopath/2007/PartnerControls">
        <TermInfo xmlns="http://schemas.microsoft.com/office/infopath/2007/PartnerControls">
          <TermName xmlns="http://schemas.microsoft.com/office/infopath/2007/PartnerControls">2019</TermName>
          <TermId xmlns="http://schemas.microsoft.com/office/infopath/2007/PartnerControls">7e451fe0-4dc6-437a-a849-bab7965a9aee</TermId>
        </TermInfo>
      </Terms>
    </n99e4c9942c6404eb103464a00e6097b>
    <adb9bed2e36e4a93af574aeb444da63e xmlns="d064c82f-d8ab-4a3d-94af-5f326bc58d2d">
      <Terms xmlns="http://schemas.microsoft.com/office/infopath/2007/PartnerControls">
        <TermInfo xmlns="http://schemas.microsoft.com/office/infopath/2007/PartnerControls">
          <TermName>NCC</TermName>
          <TermId>130c8887-ab38-4ed1-8b54-7dadce4a3313</TermId>
        </TermInfo>
        <TermInfo xmlns="http://schemas.microsoft.com/office/infopath/2007/PartnerControls">
          <TermName>Volume One</TermName>
          <TermId>b0c06fa0-6f0c-42f0-8769-ba189a6f7b53</TermId>
        </TermInfo>
        <TermInfo xmlns="http://schemas.microsoft.com/office/infopath/2007/PartnerControls">
          <TermName>calculator</TermName>
          <TermId>6aa63241-acf8-4e37-b4c6-b14d6d7f425a</TermId>
        </TermInfo>
      </Terms>
    </adb9bed2e36e4a93af574aeb444da63e>
    <aa25a1a23adf4c92a153145de6afe324 xmlns="d064c82f-d8ab-4a3d-94af-5f326bc58d2d">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6106d03b-a1a0-4e30-9d91-d5e9fb4314f9</TermId>
        </TermInfo>
      </Terms>
    </aa25a1a23adf4c92a153145de6afe324>
    <pe2555c81638466f9eb614edb9ecde52 xmlns="d064c82f-d8ab-4a3d-94af-5f326bc58d2d">
      <Terms xmlns="http://schemas.microsoft.com/office/infopath/2007/PartnerControls">
        <TermInfo xmlns="http://schemas.microsoft.com/office/infopath/2007/PartnerControls">
          <TermName xmlns="http://schemas.microsoft.com/office/infopath/2007/PartnerControls">Tool</TermName>
          <TermId xmlns="http://schemas.microsoft.com/office/infopath/2007/PartnerControls">583238a4-4987-4992-ad5d-7e2312842cf7</TermId>
        </TermInfo>
      </Terms>
    </pe2555c81638466f9eb614edb9ecde52>
    <g7bcb40ba23249a78edca7d43a67c1c9 xmlns="d064c82f-d8ab-4a3d-94af-5f326bc58d2d">
      <Terms xmlns="http://schemas.microsoft.com/office/infopath/2007/PartnerControls">
        <TermInfo xmlns="http://schemas.microsoft.com/office/infopath/2007/PartnerControls">
          <TermName>Product Release</TermName>
          <TermId>906fb0d8-cd31-4ac5-b3e3-062fb43ec554</TermId>
        </TermInfo>
      </Terms>
    </g7bcb40ba23249a78edca7d43a67c1c9>
    <TaxCatchAll xmlns="d064c82f-d8ab-4a3d-94af-5f326bc58d2d">
      <Value>576</Value>
      <Value>30</Value>
      <Value>96</Value>
      <Value>40</Value>
      <Value>243</Value>
      <Value>89</Value>
      <Value>3</Value>
    </TaxCatchAll>
    <Comments xmlns="http://schemas.microsoft.com/sharepoint/v3">Amended 6 April 2021 - revision to calculation of ambulant sanitary facilities plus additional note. </Comments>
    <_dlc_DocId xmlns="d064c82f-d8ab-4a3d-94af-5f326bc58d2d">WUYEHK7WH6H4-1653706823-915</_dlc_DocId>
    <_dlc_DocIdUrl xmlns="d064c82f-d8ab-4a3d-94af-5f326bc58d2d">
      <Url>https://dochub/div/australianbuildingcodesboard/businessfunctions/resourcelibrary/guidanceandtraining/_layouts/15/DocIdRedir.aspx?ID=WUYEHK7WH6H4-1653706823-915</Url>
      <Description>WUYEHK7WH6H4-1653706823-915</Description>
    </_dlc_DocIdUrl>
    <IconOverlay xmlns="http://schemas.microsoft.com/sharepoint/v4"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48E074B-7033-4803-8B65-D6C2236152E5}">
  <ds:schemaRefs>
    <ds:schemaRef ds:uri="http://schemas.microsoft.com/sharepoint/events"/>
  </ds:schemaRefs>
</ds:datastoreItem>
</file>

<file path=customXml/itemProps2.xml><?xml version="1.0" encoding="utf-8"?>
<ds:datastoreItem xmlns:ds="http://schemas.openxmlformats.org/officeDocument/2006/customXml" ds:itemID="{AD5782E8-73E9-4777-8601-D862326D35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064c82f-d8ab-4a3d-94af-5f326bc58d2d"/>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AFF480-2B0D-4172-ACD5-76D0DB406BFF}">
  <ds:schemaRefs>
    <ds:schemaRef ds:uri="http://schemas.microsoft.com/office/2006/metadata/properties"/>
    <ds:schemaRef ds:uri="d064c82f-d8ab-4a3d-94af-5f326bc58d2d"/>
    <ds:schemaRef ds:uri="http://schemas.microsoft.com/sharepoint/v3"/>
    <ds:schemaRef ds:uri="http://schemas.microsoft.com/sharepoint/v4"/>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4.xml><?xml version="1.0" encoding="utf-8"?>
<ds:datastoreItem xmlns:ds="http://schemas.openxmlformats.org/officeDocument/2006/customXml" ds:itemID="{5524984E-E75F-4CC5-83B5-9022288AE75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Sanitary Facilities Calculator</vt:lpstr>
      <vt:lpstr>Help Guide</vt:lpstr>
      <vt:lpstr>Worksheet</vt:lpstr>
      <vt:lpstr>Tables</vt:lpstr>
      <vt:lpstr>ClassRange</vt:lpstr>
      <vt:lpstr>'Help Guide'!Print_Area</vt:lpstr>
      <vt:lpstr>'Sanitary Facilities Calculator'!Print_Area</vt:lpstr>
      <vt:lpstr>Range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Melville, Philip</dc:creator>
  <cp:lastModifiedBy>Sewter, Mitchell</cp:lastModifiedBy>
  <cp:lastPrinted>2022-09-28T07:20:17Z</cp:lastPrinted>
  <dcterms:created xsi:type="dcterms:W3CDTF">2016-11-02T23:47:28Z</dcterms:created>
  <dcterms:modified xsi:type="dcterms:W3CDTF">2022-09-30T05:29:34Z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0x0101004BD8C9492125574A91909CD263A904DF</vt:lpwstr>
  </property>
  <property fmtid="{D5CDD505-2E9C-101B-9397-08002B2CF9AE}" pid="3" name="DocHub_Year">
    <vt:lpwstr>89;#2019|7e451fe0-4dc6-437a-a849-bab7965a9aee</vt:lpwstr>
  </property>
  <property fmtid="{D5CDD505-2E9C-101B-9397-08002B2CF9AE}" pid="4" name="DocHub_WorkActivity">
    <vt:lpwstr>576;#Product Release|906fb0d8-cd31-4ac5-b3e3-062fb43ec554</vt:lpwstr>
  </property>
  <property fmtid="{D5CDD505-2E9C-101B-9397-08002B2CF9AE}" pid="5" name="DocHub_Keywords">
    <vt:lpwstr>96;#NCC|130c8887-ab38-4ed1-8b54-7dadce4a3313;#30;#Volume One|b0c06fa0-6f0c-42f0-8769-ba189a6f7b53;#243;#calculator|6aa63241-acf8-4e37-b4c6-b14d6d7f425a</vt:lpwstr>
  </property>
  <property fmtid="{D5CDD505-2E9C-101B-9397-08002B2CF9AE}" pid="6" name="DocHub_DocumentType">
    <vt:lpwstr>40;#Tool|583238a4-4987-4992-ad5d-7e2312842cf7</vt:lpwstr>
  </property>
  <property fmtid="{D5CDD505-2E9C-101B-9397-08002B2CF9AE}" pid="7" name="DocHub_SecurityClassification">
    <vt:lpwstr>3;#OFFICIAL|6106d03b-a1a0-4e30-9d91-d5e9fb4314f9</vt:lpwstr>
  </property>
  <property fmtid="{D5CDD505-2E9C-101B-9397-08002B2CF9AE}" pid="8" name="_dlc_DocIdItemGuid">
    <vt:lpwstr>4ed04381-6e3b-462b-b20b-b45ad888e820</vt:lpwstr>
  </property>
</Properties>
</file>